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ønderborg Vandforsyning AS (V181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21" i="39"/>
  <c r="C20" i="39"/>
  <c r="C22" i="39" s="1"/>
  <c r="C20" i="15" s="1"/>
  <c r="E13" i="39"/>
  <c r="E12" i="39"/>
  <c r="E29" i="39"/>
  <c r="E28" i="39"/>
  <c r="E30" i="39" s="1"/>
  <c r="C20" i="22" s="1"/>
  <c r="C37" i="39"/>
  <c r="C36" i="39"/>
  <c r="E21" i="39"/>
  <c r="E20" i="39"/>
  <c r="E37" i="39"/>
  <c r="E36" i="39"/>
  <c r="E14" i="39" l="1"/>
  <c r="C25" i="2" s="1"/>
  <c r="C30" i="39"/>
  <c r="C19" i="22" s="1"/>
  <c r="C21" i="22" s="1"/>
  <c r="C38" i="39"/>
  <c r="C19" i="23" s="1"/>
  <c r="E38" i="39"/>
  <c r="C20" i="23" s="1"/>
  <c r="E22" i="39"/>
  <c r="C21" i="15" s="1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3" i="37" s="1"/>
  <c r="C14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<sst xmlns="http://schemas.openxmlformats.org/spreadsheetml/2006/main" count="599" uniqueCount="246">
  <si>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</si>
  <si>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</si>
  <si>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</si>
  <si>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</si>
  <si>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</si>
  <si>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</si>
  <si>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</si>
  <si>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</si>
  <si>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</si>
  <si>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</si>
  <si>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</si>
  <si>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</si>
  <si>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</si>
  <si>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</si>
  <si>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</si>
  <si>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</si>
  <si>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</si>
  <si>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</si>
  <si>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</si>
  <si>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</si>
  <si>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</si>
  <si>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</si>
  <si>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</si>
  <si>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</si>
  <si>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</si>
  <si>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</si>
  <si>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</si>
  <si>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</si>
  <si>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</si>
  <si>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</si>
  <si>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</si>
  <si>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</si>
  <si>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</si>
  <si>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</si>
  <si>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</si>
  <si>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</si>
  <si>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</si>
  <si>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</si>
  <si>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</si>
  <si>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</si>
  <si>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</si>
  <si>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</si>
  <si>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</si>
  <si>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</si>
  <si>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</si>
  <si>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</si>
  <si>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</si>
  <si>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</si>
  <si>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</si>
  <si>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</si>
  <si>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</si>
  <si>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</si>
  <si>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</si>
  <si>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</si>
  <si>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</si>
  <si>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</si>
  <si>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</si>
  <si>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</si>
  <si>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</si>
  <si>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</si>
  <si>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</si>
  <si>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</si>
  <si>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</si>
  <si>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</si>
  <si>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</si>
  <si>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</si>
  <si>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</si>
  <si>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</si>
  <si>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</si>
  <si>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</si>
  <si>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</si>
  <si>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</si>
  <si>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</si>
  <si>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</si>
  <si>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</si>
  <si>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</si>
  <si>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</si>
  <si>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</si>
  <si>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</si>
  <si>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</si>
  <si>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</si>
  <si>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</si>
  <si>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</si>
  <si>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</si>
  <si>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</si>
  <si>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</si>
  <si>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</si>
  <si>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</si>
  <si>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</si>
  <si>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</si>
  <si>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</si>
  <si>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</si>
  <si>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</si>
  <si>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</si>
  <si>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</si>
  <si>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</si>
  <si>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</si>
  <si>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</si>
  <si>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</si>
  <si>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</si>
  <si>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</si>
  <si>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</si>
  <si>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</si>
  <si>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</si>
  <si>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</si>
  <si>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</si>
  <si>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</si>
  <si>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</si>
  <si>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</si>
  <si>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</si>
  <si>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</si>
  <si>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</si>
  <si>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</si>
  <si>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</si>
  <si>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</si>
  <si>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</si>
  <si>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</si>
  <si>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</si>
  <si>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</si>
  <si>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</si>
  <si>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</si>
  <si>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</si>
  <si>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</si>
  <si>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</si>
  <si>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</si>
  <si>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</si>
  <si>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</si>
  <si>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</si>
  <si>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</si>
  <si>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</si>
  <si>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</si>
  <si>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</si>
  <si>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</si>
  <si>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</si>
  <si>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</si>
  <si>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</si>
  <si>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</si>
  <si>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</si>
  <si>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</si>
  <si>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</si>
  <si>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</si>
  <si>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</si>
  <si>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</si>
  <si>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</si>
  <si>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</si>
  <si>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</si>
  <si>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</si>
  <si>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</si>
  <si>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</si>
  <si>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</si>
  <si>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</si>
  <si>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</si>
  <si>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</si>
  <si>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</si>
  <si>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</si>
  <si>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</si>
  <si>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</si>
  <si>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</si>
  <si>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</si>
  <si>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</si>
  <si>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</si>
  <si>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</si>
  <si>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</si>
  <si>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</si>
  <si>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</si>
  <si>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</si>
  <si>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</si>
  <si>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</si>
  <si>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</si>
  <si>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</si>
  <si>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</si>
  <si>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</si>
  <si>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</si>
  <si>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</si>
  <si>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</si>
  <si>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</si>
  <si>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</si>
  <si>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</si>
  <si>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</si>
  <si>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</si>
  <si>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</si>
  <si>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</si>
  <si>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</si>
  <si>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</si>
  <si>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</si>
  <si>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</si>
  <si>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</si>
  <si>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</si>
  <si>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</si>
  <si>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</si>
  <si>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</si>
  <si>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</si>
  <si>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</si>
  <si>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</si>
  <si>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</si>
  <si>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</si>
  <si>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</si>
  <si>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</si>
  <si>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</si>
  <si>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</si>
  <si>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</si>
  <si>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</si>
  <si>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</si>
  <si>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</si>
  <si>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</si>
  <si>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</si>
  <si>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</si>
  <si>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</si>
  <si>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</si>
  <si>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</si>
  <si>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</si>
  <si>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</si>
  <si>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</si>
  <si>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</si>
  <si>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</si>
  <si>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</si>
  <si>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</si>
  <si>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</si>
  <si>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</si>
  <si>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</si>
  <si>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</si>
  <si>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</si>
  <si>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</si>
  <si>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</si>
  <si>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</si>
  <si>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</si>
  <si>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</si>
  <si>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</si>
  <si>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</si>
  <si>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</si>
  <si>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</si>
  <si>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</si>
  <si>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</si>
  <si>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</si>
  <si>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</si>
  <si>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</si>
  <si>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</si>
  <si>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Selskabsskatter</t>
  </si>
  <si>
    <t>Tjenestemandspensioner</t>
  </si>
  <si>
    <t>Nye kunder/udstykninger</t>
  </si>
  <si>
    <t>Vandsamarbejde - grundvandsbeskyttelse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</si>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</sst>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9" t="s">
        <v>4</v>
      </c>
      <c r="E6" s="69"/>
      <c r="F6" s="69"/>
      <c r="G6" s="69"/>
      <c r="H6" s="3"/>
      <c r="I6" s="1"/>
    </row>
    <row r="7" spans="1:9" ht="15" customHeight="1" x14ac:dyDescent="0.25">
      <c r="A7" s="1"/>
      <c r="B7" s="1"/>
      <c r="C7" s="3"/>
      <c r="D7" s="69"/>
      <c r="E7" s="69"/>
      <c r="F7" s="69"/>
      <c r="G7" s="69"/>
      <c r="H7" s="3"/>
      <c r="I7" s="1"/>
    </row>
    <row r="8" spans="1:9" ht="15.75" x14ac:dyDescent="0.25">
      <c r="A8" s="1"/>
      <c r="B8" s="1"/>
      <c r="C8" s="4"/>
      <c r="D8" s="71" t="s">
        <v>192</v>
      </c>
      <c r="E8" s="71"/>
      <c r="F8" s="71"/>
      <c r="G8" s="7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0" t="s">
        <v>5</v>
      </c>
      <c r="E11" s="70"/>
      <c r="F11" s="70"/>
      <c r="G11" s="7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6" t="s">
        <v>56</v>
      </c>
      <c r="E13" s="67"/>
      <c r="F13" s="67"/>
      <c r="G13" s="68"/>
      <c r="H13" s="1"/>
      <c r="I13" s="1"/>
    </row>
    <row r="14" spans="1:9" x14ac:dyDescent="0.25">
      <c r="A14" s="1"/>
      <c r="B14" s="1"/>
      <c r="C14" s="6" t="s">
        <v>22</v>
      </c>
      <c r="D14" s="66" t="s">
        <v>177</v>
      </c>
      <c r="E14" s="67"/>
      <c r="F14" s="67"/>
      <c r="G14" s="68"/>
      <c r="H14" s="1"/>
      <c r="I14" s="1"/>
    </row>
    <row r="15" spans="1:9" x14ac:dyDescent="0.25">
      <c r="A15" s="1"/>
      <c r="B15" s="1"/>
      <c r="C15" s="6" t="s">
        <v>55</v>
      </c>
      <c r="D15" s="66" t="s">
        <v>133</v>
      </c>
      <c r="E15" s="67"/>
      <c r="F15" s="67"/>
      <c r="G15" s="68"/>
      <c r="H15" s="1"/>
      <c r="I15" s="1"/>
    </row>
    <row r="16" spans="1:9" x14ac:dyDescent="0.25">
      <c r="A16" s="1"/>
      <c r="B16" s="1"/>
      <c r="C16" s="6" t="s">
        <v>57</v>
      </c>
      <c r="D16" s="66" t="s">
        <v>134</v>
      </c>
      <c r="E16" s="67"/>
      <c r="F16" s="67"/>
      <c r="G16" s="68"/>
      <c r="H16" s="1"/>
      <c r="I16" s="1"/>
    </row>
    <row r="17" spans="1:9" x14ac:dyDescent="0.25">
      <c r="A17" s="1"/>
      <c r="B17" s="1"/>
      <c r="C17" s="6" t="s">
        <v>224</v>
      </c>
      <c r="D17" s="66" t="s">
        <v>66</v>
      </c>
      <c r="E17" s="67"/>
      <c r="F17" s="67"/>
      <c r="G17" s="68"/>
      <c r="H17" s="1"/>
      <c r="I17" s="1"/>
    </row>
    <row r="18" spans="1:9" x14ac:dyDescent="0.25">
      <c r="A18" s="1"/>
      <c r="B18" s="1"/>
      <c r="C18" s="34" t="s">
        <v>196</v>
      </c>
      <c r="D18" s="72" t="s">
        <v>162</v>
      </c>
      <c r="E18" s="73"/>
      <c r="F18" s="73"/>
      <c r="G18" s="74"/>
      <c r="H18" s="1"/>
      <c r="I18" s="1"/>
    </row>
    <row r="19" spans="1:9" x14ac:dyDescent="0.25">
      <c r="A19" s="1"/>
      <c r="B19" s="1"/>
      <c r="C19" s="34" t="s">
        <v>197</v>
      </c>
      <c r="D19" s="72" t="s">
        <v>163</v>
      </c>
      <c r="E19" s="73"/>
      <c r="F19" s="73"/>
      <c r="G19" s="74"/>
      <c r="H19" s="1"/>
      <c r="I19" s="1"/>
    </row>
    <row r="20" spans="1:9" x14ac:dyDescent="0.25">
      <c r="A20" s="1"/>
      <c r="B20" s="1"/>
      <c r="C20" s="34" t="s">
        <v>7</v>
      </c>
      <c r="D20" s="72" t="s">
        <v>10</v>
      </c>
      <c r="E20" s="73"/>
      <c r="F20" s="73"/>
      <c r="G20" s="74"/>
      <c r="H20" s="1"/>
      <c r="I20" s="1"/>
    </row>
    <row r="21" spans="1:9" x14ac:dyDescent="0.25">
      <c r="A21" s="1"/>
      <c r="B21" s="1"/>
      <c r="C21" s="6" t="s">
        <v>198</v>
      </c>
      <c r="D21" s="63" t="s">
        <v>17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140</v>
      </c>
      <c r="D22" s="57" t="s">
        <v>161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225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58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199</v>
      </c>
      <c r="D25" s="57" t="s">
        <v>141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200</v>
      </c>
      <c r="D26" s="57" t="s">
        <v>142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201</v>
      </c>
      <c r="D27" s="57" t="s">
        <v>59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183</v>
      </c>
      <c r="D28" s="57" t="s">
        <v>60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61</v>
      </c>
      <c r="D29" s="54" t="s">
        <v>11</v>
      </c>
      <c r="E29" s="55"/>
      <c r="F29" s="55"/>
      <c r="G29" s="56"/>
      <c r="H29" s="1"/>
      <c r="I29" s="1"/>
    </row>
    <row r="30" spans="1:9" x14ac:dyDescent="0.25">
      <c r="A30" s="1"/>
      <c r="B30" s="1"/>
      <c r="C30" s="6" t="s">
        <v>62</v>
      </c>
      <c r="D30" s="60" t="s">
        <v>184</v>
      </c>
      <c r="E30" s="61"/>
      <c r="F30" s="61"/>
      <c r="G30" s="62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ojMGtf+j7Elo1aR+05xjaH4mxdukcWhR7T2IzoiFoIuPco7d4xyNxZeMVmgddHwNOgxgRnmdeEIws2J6w7EMKQ==" saltValue="oNgjkKPS59AtAHmwyAP19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5" t="s">
        <v>204</v>
      </c>
      <c r="C3" s="75"/>
      <c r="D3" s="75"/>
      <c r="E3" s="1"/>
      <c r="F3" s="1"/>
    </row>
    <row r="4" spans="1:6" ht="15" customHeight="1" x14ac:dyDescent="0.25">
      <c r="A4" s="1"/>
      <c r="B4" s="75"/>
      <c r="C4" s="75"/>
      <c r="D4" s="75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8" t="s">
        <v>69</v>
      </c>
      <c r="C8" s="99"/>
      <c r="D8" s="100"/>
      <c r="E8" s="1"/>
      <c r="F8" s="1"/>
    </row>
    <row r="9" spans="1:6" ht="15" customHeight="1" x14ac:dyDescent="0.25">
      <c r="A9" s="1"/>
      <c r="B9" s="39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13097233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49698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170227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181039</v>
      </c>
      <c r="D13" s="14" t="s">
        <v>3</v>
      </c>
      <c r="E13" s="1"/>
      <c r="F13" s="1"/>
    </row>
    <row r="14" spans="1:6" x14ac:dyDescent="0.25">
      <c r="A14" s="1"/>
      <c r="B14" s="48" t="s">
        <v>238</v>
      </c>
      <c r="C14" s="9">
        <v>894600</v>
      </c>
      <c r="D14" s="14" t="s">
        <v>3</v>
      </c>
      <c r="E14" s="1"/>
      <c r="F14" s="1"/>
    </row>
    <row r="15" spans="1:6" x14ac:dyDescent="0.25">
      <c r="A15" s="1"/>
      <c r="B15" s="46" t="s">
        <v>71</v>
      </c>
      <c r="C15" s="12">
        <f>SUM(C10:C14)</f>
        <v>14392797</v>
      </c>
      <c r="D15" s="13" t="s">
        <v>3</v>
      </c>
      <c r="E15" s="1"/>
      <c r="F15" s="1"/>
    </row>
    <row r="16" spans="1:6" x14ac:dyDescent="0.25">
      <c r="A16" s="1"/>
      <c r="B16" s="46" t="s">
        <v>72</v>
      </c>
      <c r="C16" s="12">
        <f>C15*(1+'Fane 14. Nøgletal'!C12)^2</f>
        <v>14965458.902387731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aAhAo8GbAE8Hrk56XOpOpjBq4iggYA4JLiaLc4Ei0Y2EquXOh9y40AJZTdKyYLt/Tn9ecgJd6Yovv8RW7h/b2w==" saltValue="iK1gDM4238F4YWe90veg5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205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ht="15" customHeight="1" x14ac:dyDescent="0.25">
      <c r="A5" s="1"/>
      <c r="B5" s="44"/>
      <c r="C5" s="44"/>
      <c r="D5" s="44"/>
      <c r="E5" s="44"/>
      <c r="F5" s="44"/>
      <c r="G5" s="1"/>
    </row>
    <row r="6" spans="1:7" ht="15" customHeight="1" x14ac:dyDescent="0.25">
      <c r="A6" s="1"/>
      <c r="B6" s="98" t="s">
        <v>52</v>
      </c>
      <c r="C6" s="99"/>
      <c r="D6" s="99"/>
      <c r="E6" s="99"/>
      <c r="F6" s="100"/>
      <c r="G6" s="1"/>
    </row>
    <row r="7" spans="1:7" ht="15" customHeight="1" x14ac:dyDescent="0.25">
      <c r="A7" s="1"/>
      <c r="B7" s="101" t="s">
        <v>50</v>
      </c>
      <c r="C7" s="102"/>
      <c r="D7" s="103"/>
      <c r="E7" s="9">
        <v>794066.33333333326</v>
      </c>
      <c r="F7" s="14" t="s">
        <v>3</v>
      </c>
      <c r="G7" s="1"/>
    </row>
    <row r="8" spans="1:7" ht="15" customHeight="1" x14ac:dyDescent="0.25">
      <c r="A8" s="1"/>
      <c r="B8" s="101" t="s">
        <v>51</v>
      </c>
      <c r="C8" s="102"/>
      <c r="D8" s="103"/>
      <c r="E8" s="9">
        <v>4999054.0236791</v>
      </c>
      <c r="F8" s="14" t="s">
        <v>3</v>
      </c>
      <c r="G8" s="1"/>
    </row>
    <row r="9" spans="1:7" ht="15" customHeight="1" x14ac:dyDescent="0.25">
      <c r="A9" s="1"/>
      <c r="B9" s="109" t="s">
        <v>186</v>
      </c>
      <c r="C9" s="110"/>
      <c r="D9" s="111"/>
      <c r="E9" s="10">
        <f>SUM(E7:E8)</f>
        <v>5793120.357012433</v>
      </c>
      <c r="F9" s="17" t="s">
        <v>3</v>
      </c>
      <c r="G9" s="1"/>
    </row>
    <row r="10" spans="1:7" ht="15" customHeight="1" x14ac:dyDescent="0.25">
      <c r="A10" s="1"/>
      <c r="B10" s="46"/>
      <c r="C10" s="47"/>
      <c r="D10" s="47"/>
      <c r="E10" s="47"/>
      <c r="F10" s="22"/>
      <c r="G10" s="1"/>
    </row>
    <row r="11" spans="1:7" ht="28.5" customHeight="1" x14ac:dyDescent="0.25">
      <c r="A11" s="1"/>
      <c r="B11" s="89" t="s">
        <v>188</v>
      </c>
      <c r="C11" s="90"/>
      <c r="D11" s="90"/>
      <c r="E11" s="90"/>
      <c r="F11" s="9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8" t="s">
        <v>165</v>
      </c>
      <c r="C14" s="99"/>
      <c r="D14" s="99"/>
      <c r="E14" s="99"/>
      <c r="F14" s="100"/>
      <c r="G14" s="1"/>
    </row>
    <row r="15" spans="1:7" x14ac:dyDescent="0.25">
      <c r="A15" s="1"/>
      <c r="B15" s="101" t="s">
        <v>166</v>
      </c>
      <c r="C15" s="102"/>
      <c r="D15" s="103"/>
      <c r="E15" s="9">
        <v>42144137.718371265</v>
      </c>
      <c r="F15" s="14" t="s">
        <v>3</v>
      </c>
      <c r="G15" s="1"/>
    </row>
    <row r="16" spans="1:7" x14ac:dyDescent="0.25">
      <c r="A16" s="1"/>
      <c r="B16" s="101" t="s">
        <v>167</v>
      </c>
      <c r="C16" s="102"/>
      <c r="D16" s="103"/>
      <c r="E16" s="9">
        <v>35523215</v>
      </c>
      <c r="F16" s="14" t="s">
        <v>3</v>
      </c>
      <c r="G16" s="1"/>
    </row>
    <row r="17" spans="1:7" x14ac:dyDescent="0.25">
      <c r="A17" s="1"/>
      <c r="B17" s="101" t="s">
        <v>49</v>
      </c>
      <c r="C17" s="102"/>
      <c r="D17" s="103"/>
      <c r="E17" s="9">
        <v>0</v>
      </c>
      <c r="F17" s="14" t="s">
        <v>3</v>
      </c>
      <c r="G17" s="1"/>
    </row>
    <row r="18" spans="1:7" x14ac:dyDescent="0.25">
      <c r="A18" s="1"/>
      <c r="B18" s="109" t="s">
        <v>187</v>
      </c>
      <c r="C18" s="110"/>
      <c r="D18" s="111"/>
      <c r="E18" s="10">
        <f>E15-(E16-E17)</f>
        <v>6620922.7183712646</v>
      </c>
      <c r="F18" s="17" t="s">
        <v>3</v>
      </c>
      <c r="G18" s="1"/>
    </row>
    <row r="19" spans="1:7" x14ac:dyDescent="0.25">
      <c r="A19" s="1"/>
      <c r="B19" s="46"/>
      <c r="C19" s="47"/>
      <c r="D19" s="47"/>
      <c r="E19" s="47"/>
      <c r="F19" s="22"/>
      <c r="G19" s="1"/>
    </row>
    <row r="20" spans="1:7" ht="30" customHeight="1" x14ac:dyDescent="0.25">
      <c r="A20" s="1"/>
      <c r="B20" s="89" t="s">
        <v>189</v>
      </c>
      <c r="C20" s="90"/>
      <c r="D20" s="90"/>
      <c r="E20" s="90"/>
      <c r="F20" s="9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8" t="s">
        <v>77</v>
      </c>
      <c r="C23" s="99"/>
      <c r="D23" s="99"/>
      <c r="E23" s="99"/>
      <c r="F23" s="100"/>
      <c r="G23" s="1"/>
    </row>
    <row r="24" spans="1:7" x14ac:dyDescent="0.25">
      <c r="A24" s="1"/>
      <c r="B24" s="101" t="s">
        <v>78</v>
      </c>
      <c r="C24" s="102"/>
      <c r="D24" s="103"/>
      <c r="E24" s="9">
        <v>39031118.324965157</v>
      </c>
      <c r="F24" s="14" t="s">
        <v>3</v>
      </c>
      <c r="G24" s="1"/>
    </row>
    <row r="25" spans="1:7" x14ac:dyDescent="0.25">
      <c r="A25" s="1"/>
      <c r="B25" s="101" t="s">
        <v>79</v>
      </c>
      <c r="C25" s="102"/>
      <c r="D25" s="103"/>
      <c r="E25" s="9">
        <v>36597317</v>
      </c>
      <c r="F25" s="14" t="s">
        <v>3</v>
      </c>
      <c r="G25" s="1"/>
    </row>
    <row r="26" spans="1:7" x14ac:dyDescent="0.25">
      <c r="A26" s="1"/>
      <c r="B26" s="101" t="s">
        <v>49</v>
      </c>
      <c r="C26" s="102"/>
      <c r="D26" s="103"/>
      <c r="E26" s="9">
        <v>0</v>
      </c>
      <c r="F26" s="14" t="s">
        <v>3</v>
      </c>
      <c r="G26" s="1"/>
    </row>
    <row r="27" spans="1:7" x14ac:dyDescent="0.25">
      <c r="A27" s="1"/>
      <c r="B27" s="109" t="s">
        <v>187</v>
      </c>
      <c r="C27" s="110"/>
      <c r="D27" s="111"/>
      <c r="E27" s="10">
        <f>E24-(E25-E26)</f>
        <v>2433801.3249651566</v>
      </c>
      <c r="F27" s="17" t="s">
        <v>3</v>
      </c>
      <c r="G27" s="1"/>
    </row>
    <row r="28" spans="1:7" x14ac:dyDescent="0.25">
      <c r="A28" s="1"/>
      <c r="B28" s="46"/>
      <c r="C28" s="47"/>
      <c r="D28" s="47"/>
      <c r="E28" s="47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8" t="s">
        <v>244</v>
      </c>
      <c r="C31" s="99"/>
      <c r="D31" s="99"/>
      <c r="E31" s="99"/>
      <c r="F31" s="100"/>
      <c r="G31" s="1"/>
    </row>
    <row r="32" spans="1:7" x14ac:dyDescent="0.25">
      <c r="A32" s="1"/>
      <c r="B32" s="109" t="s">
        <v>245</v>
      </c>
      <c r="C32" s="110"/>
      <c r="D32" s="111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2896560.1785062165</v>
      </c>
      <c r="F32" s="17" t="s">
        <v>3</v>
      </c>
      <c r="G32" s="1"/>
    </row>
    <row r="33" spans="1:7" x14ac:dyDescent="0.25">
      <c r="A33" s="1"/>
      <c r="B33" s="98"/>
      <c r="C33" s="99"/>
      <c r="D33" s="99"/>
      <c r="E33" s="99"/>
      <c r="F33" s="100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8" t="s">
        <v>180</v>
      </c>
      <c r="C36" s="99"/>
      <c r="D36" s="99"/>
      <c r="E36" s="99"/>
      <c r="F36" s="100"/>
      <c r="G36" s="1"/>
    </row>
    <row r="37" spans="1:7" x14ac:dyDescent="0.25">
      <c r="A37" s="1"/>
      <c r="B37" s="112" t="s">
        <v>53</v>
      </c>
      <c r="C37" s="113"/>
      <c r="D37" s="114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2" t="s">
        <v>185</v>
      </c>
      <c r="C38" s="113"/>
      <c r="D38" s="114"/>
      <c r="E38" s="9">
        <v>2</v>
      </c>
      <c r="F38" s="14" t="s">
        <v>27</v>
      </c>
      <c r="G38" s="1"/>
    </row>
    <row r="39" spans="1:7" ht="15" customHeight="1" x14ac:dyDescent="0.25">
      <c r="A39" s="1"/>
      <c r="B39" s="109" t="s">
        <v>227</v>
      </c>
      <c r="C39" s="110"/>
      <c r="D39" s="111"/>
      <c r="E39" s="10">
        <f>E37/E38</f>
        <v>0</v>
      </c>
      <c r="F39" s="17" t="s">
        <v>3</v>
      </c>
      <c r="G39" s="1"/>
    </row>
    <row r="40" spans="1:7" x14ac:dyDescent="0.25">
      <c r="A40" s="1"/>
      <c r="B40" s="98"/>
      <c r="C40" s="99"/>
      <c r="D40" s="99"/>
      <c r="E40" s="99"/>
      <c r="F40" s="100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ks5YiaB/pA9fUtdcKitU2EN3XpzvqstQR2PoFWqCusexDrJuxG5aWPhBIZONB8WG/8lLv0RK3WYVXvfcpYOUBQ==" saltValue="IRlUVhXIjCTJTxG73CNd8w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5" t="s">
        <v>228</v>
      </c>
      <c r="C3" s="85"/>
      <c r="D3" s="85"/>
      <c r="E3" s="85"/>
      <c r="F3" s="85"/>
      <c r="G3" s="1"/>
    </row>
    <row r="4" spans="1:7" ht="1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159</v>
      </c>
      <c r="C8" s="99"/>
      <c r="D8" s="99"/>
      <c r="E8" s="99"/>
      <c r="F8" s="99"/>
      <c r="G8" s="1"/>
    </row>
    <row r="9" spans="1:7" ht="29.25" customHeight="1" x14ac:dyDescent="0.25">
      <c r="A9" s="1"/>
      <c r="B9" s="95" t="s">
        <v>164</v>
      </c>
      <c r="C9" s="96"/>
      <c r="D9" s="97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6" t="s">
        <v>175</v>
      </c>
      <c r="C10" s="47"/>
      <c r="D10" s="47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3XHckrjMJl5g0Qjdg9CK1vozz7RdHpXQaYpsmbOzs6fsw5n9fuap2NyH8llC5+pOLZJxSQQ/BIA8B8o5m0w38Q==" saltValue="chf7EnIqMdgPeQkiXdavj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229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230</v>
      </c>
      <c r="C8" s="99"/>
      <c r="D8" s="99"/>
      <c r="E8" s="99"/>
      <c r="F8" s="99"/>
      <c r="G8" s="99"/>
      <c r="H8" s="100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1"/>
      <c r="I9" s="1"/>
    </row>
    <row r="10" spans="1:9" x14ac:dyDescent="0.25">
      <c r="A10" s="1"/>
      <c r="B10" s="51" t="s">
        <v>242</v>
      </c>
      <c r="C10" s="52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8" t="s">
        <v>231</v>
      </c>
      <c r="C11" s="99"/>
      <c r="D11" s="100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WRy2tmiLRnoIzFNb2sAVYExJzNNLT4f2pAa0KHyP1F0idsWYbNmNPQ1pEl2A7Zaxi7dQrT+u5sS9Tz4MCOTnCg==" saltValue="yqTTJf03Rs2fD0prHWwcW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206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137</v>
      </c>
      <c r="C8" s="47"/>
      <c r="D8" s="47"/>
      <c r="E8" s="47"/>
      <c r="F8" s="22"/>
      <c r="G8" s="1"/>
    </row>
    <row r="9" spans="1:7" ht="17.25" customHeight="1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243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53" t="s">
        <v>239</v>
      </c>
      <c r="C11" s="24">
        <v>0</v>
      </c>
      <c r="D11" s="14" t="s">
        <v>3</v>
      </c>
      <c r="E11" s="9">
        <v>6244</v>
      </c>
      <c r="F11" s="14" t="s">
        <v>3</v>
      </c>
      <c r="G11" s="1"/>
    </row>
    <row r="12" spans="1:7" x14ac:dyDescent="0.25">
      <c r="A12" s="1"/>
      <c r="B12" s="27" t="s">
        <v>240</v>
      </c>
      <c r="C12" s="24">
        <v>433938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46" t="s">
        <v>63</v>
      </c>
      <c r="C13" s="12">
        <f>SUM(C10:C12)</f>
        <v>433938</v>
      </c>
      <c r="D13" s="13" t="s">
        <v>3</v>
      </c>
      <c r="E13" s="12">
        <f>SUM(E10:E12)</f>
        <v>6244</v>
      </c>
      <c r="F13" s="13" t="s">
        <v>3</v>
      </c>
      <c r="G13" s="1"/>
    </row>
    <row r="14" spans="1:7" x14ac:dyDescent="0.25">
      <c r="A14" s="1"/>
      <c r="B14" s="46" t="s">
        <v>74</v>
      </c>
      <c r="C14" s="12">
        <f>C13*(1+'Fane 14. Nøgletal'!C12)</f>
        <v>442486.57860000001</v>
      </c>
      <c r="D14" s="13" t="s">
        <v>3</v>
      </c>
      <c r="E14" s="12">
        <f>E13*(1+'Fane 14. Nøgletal'!C12)</f>
        <v>6367.0068000000001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POdwh9QXCD2/swB6wsjnh1JJySOzpAM8KpNHkC5ONYzra8BKOJUuCjJF3+v6CjEOtw0rr0B90EJS/n+xuoRKfA==" saltValue="WOQJ3DRzcFZ0M21HASwFD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5" t="s">
        <v>207</v>
      </c>
      <c r="C3" s="75"/>
      <c r="D3" s="75"/>
      <c r="E3" s="75"/>
      <c r="F3" s="75"/>
      <c r="G3" s="1"/>
    </row>
    <row r="4" spans="1:7" ht="15" customHeight="1" x14ac:dyDescent="0.25">
      <c r="A4" s="1"/>
      <c r="B4" s="75"/>
      <c r="C4" s="75"/>
      <c r="D4" s="75"/>
      <c r="E4" s="75"/>
      <c r="F4" s="7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168</v>
      </c>
      <c r="C8" s="99"/>
      <c r="D8" s="99"/>
      <c r="E8" s="99"/>
      <c r="F8" s="100"/>
      <c r="G8" s="1"/>
    </row>
    <row r="9" spans="1:7" x14ac:dyDescent="0.25">
      <c r="A9" s="1"/>
      <c r="B9" s="42" t="s">
        <v>24</v>
      </c>
      <c r="C9" s="42" t="s">
        <v>16</v>
      </c>
      <c r="D9" s="43"/>
      <c r="E9" s="42" t="s">
        <v>47</v>
      </c>
      <c r="F9" s="41"/>
      <c r="G9" s="1"/>
    </row>
    <row r="10" spans="1:7" x14ac:dyDescent="0.25">
      <c r="A10" s="1"/>
      <c r="B10" s="27" t="s">
        <v>241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6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8" t="s">
        <v>169</v>
      </c>
      <c r="C16" s="99"/>
      <c r="D16" s="99"/>
      <c r="E16" s="99"/>
      <c r="F16" s="100"/>
      <c r="G16" s="1"/>
    </row>
    <row r="17" spans="1:7" x14ac:dyDescent="0.25">
      <c r="A17" s="1"/>
      <c r="B17" s="42" t="s">
        <v>24</v>
      </c>
      <c r="C17" s="42" t="s">
        <v>16</v>
      </c>
      <c r="D17" s="43"/>
      <c r="E17" s="42" t="s">
        <v>47</v>
      </c>
      <c r="F17" s="41"/>
      <c r="G17" s="1"/>
    </row>
    <row r="18" spans="1:7" x14ac:dyDescent="0.2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6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6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8" t="s">
        <v>170</v>
      </c>
      <c r="C24" s="99"/>
      <c r="D24" s="99"/>
      <c r="E24" s="99"/>
      <c r="F24" s="100"/>
      <c r="G24" s="1"/>
    </row>
    <row r="25" spans="1:7" x14ac:dyDescent="0.25">
      <c r="A25" s="1"/>
      <c r="B25" s="42" t="s">
        <v>24</v>
      </c>
      <c r="C25" s="42" t="s">
        <v>16</v>
      </c>
      <c r="D25" s="43"/>
      <c r="E25" s="42" t="s">
        <v>47</v>
      </c>
      <c r="F25" s="41"/>
      <c r="G25" s="1"/>
    </row>
    <row r="26" spans="1:7" x14ac:dyDescent="0.2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6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6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8" t="s">
        <v>171</v>
      </c>
      <c r="C32" s="99"/>
      <c r="D32" s="99"/>
      <c r="E32" s="99"/>
      <c r="F32" s="100"/>
      <c r="G32" s="1"/>
    </row>
    <row r="33" spans="1:7" x14ac:dyDescent="0.25">
      <c r="A33" s="1"/>
      <c r="B33" s="42" t="s">
        <v>24</v>
      </c>
      <c r="C33" s="42" t="s">
        <v>16</v>
      </c>
      <c r="D33" s="43"/>
      <c r="E33" s="42" t="s">
        <v>47</v>
      </c>
      <c r="F33" s="41"/>
      <c r="G33" s="1"/>
    </row>
    <row r="34" spans="1:7" x14ac:dyDescent="0.2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6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6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klxmoND31XLbEFcR8AXSSIOgvHeYEY4YGCQv58ptfA30iZUVzl2wtjzIcSoEcb5mXL8sY9m4Tl4yLDMeySCt9g==" saltValue="jebpA03Lt/CuA2sO6BFeD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208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31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32</v>
      </c>
      <c r="C9" s="95" t="s">
        <v>16</v>
      </c>
      <c r="D9" s="97"/>
      <c r="E9" s="95" t="s">
        <v>47</v>
      </c>
      <c r="F9" s="97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Rd5OLSHXLcRLTit2QsZFpSH/x3lUHk9qeM2K/xxq6UvEr3gZ0uD5QOOOGUHBijHNHP8xg0DufAJZRnNdbaYTSQ==" saltValue="yOGBwGm84oUZNq06WhtLZ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209</v>
      </c>
      <c r="C3" s="85"/>
      <c r="D3" s="85"/>
      <c r="E3" s="85"/>
      <c r="F3" s="85"/>
      <c r="G3" s="1"/>
    </row>
    <row r="4" spans="1:7" ht="25.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8" t="s">
        <v>156</v>
      </c>
      <c r="C8" s="99"/>
      <c r="D8" s="99"/>
      <c r="E8" s="99"/>
      <c r="F8" s="100"/>
      <c r="G8" s="1"/>
    </row>
    <row r="9" spans="1:7" ht="15" customHeight="1" x14ac:dyDescent="0.25">
      <c r="A9" s="1"/>
      <c r="B9" s="40" t="s">
        <v>25</v>
      </c>
      <c r="C9" s="40" t="s">
        <v>16</v>
      </c>
      <c r="D9" s="41"/>
      <c r="E9" s="40" t="s">
        <v>47</v>
      </c>
      <c r="F9" s="41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6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6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8" t="s">
        <v>157</v>
      </c>
      <c r="C15" s="99"/>
      <c r="D15" s="99"/>
      <c r="E15" s="99"/>
      <c r="F15" s="100"/>
      <c r="G15" s="1"/>
    </row>
    <row r="16" spans="1:7" ht="26.25" x14ac:dyDescent="0.25">
      <c r="A16" s="1"/>
      <c r="B16" s="40" t="s">
        <v>25</v>
      </c>
      <c r="C16" s="40" t="s">
        <v>16</v>
      </c>
      <c r="D16" s="41"/>
      <c r="E16" s="40" t="s">
        <v>47</v>
      </c>
      <c r="F16" s="41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6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6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8" t="s">
        <v>155</v>
      </c>
      <c r="C22" s="99"/>
      <c r="D22" s="99"/>
      <c r="E22" s="99"/>
      <c r="F22" s="100"/>
      <c r="G22" s="1"/>
    </row>
    <row r="23" spans="1:7" ht="26.25" x14ac:dyDescent="0.25">
      <c r="A23" s="1"/>
      <c r="B23" s="40" t="s">
        <v>25</v>
      </c>
      <c r="C23" s="40" t="s">
        <v>16</v>
      </c>
      <c r="D23" s="41"/>
      <c r="E23" s="40" t="s">
        <v>47</v>
      </c>
      <c r="F23" s="41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6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6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8" t="s">
        <v>158</v>
      </c>
      <c r="C29" s="99"/>
      <c r="D29" s="99"/>
      <c r="E29" s="99"/>
      <c r="F29" s="100"/>
      <c r="G29" s="1"/>
    </row>
    <row r="30" spans="1:7" ht="26.25" x14ac:dyDescent="0.25">
      <c r="A30" s="1"/>
      <c r="B30" s="40" t="s">
        <v>25</v>
      </c>
      <c r="C30" s="40" t="s">
        <v>16</v>
      </c>
      <c r="D30" s="41"/>
      <c r="E30" s="40" t="s">
        <v>47</v>
      </c>
      <c r="F30" s="41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6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6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VpI/J+zOTigA7pjiu4CQJ8cykkXgVAiAYURzhnEdS7tH/hImFMc4x/QQwgo0MPw10oRQQynXZ96xRPJ08Q9h1A==" saltValue="zQqpGRuPF8SAmHmHyiMrd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210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18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12</v>
      </c>
      <c r="C9" s="102"/>
      <c r="D9" s="102"/>
      <c r="E9" s="102"/>
      <c r="F9" s="103"/>
      <c r="G9" s="9">
        <v>-1761529</v>
      </c>
      <c r="H9" s="14" t="s">
        <v>3</v>
      </c>
      <c r="I9" s="1"/>
    </row>
    <row r="10" spans="1:9" x14ac:dyDescent="0.25">
      <c r="A10" s="1"/>
      <c r="B10" s="101" t="s">
        <v>135</v>
      </c>
      <c r="C10" s="102"/>
      <c r="D10" s="102"/>
      <c r="E10" s="102"/>
      <c r="F10" s="103"/>
      <c r="G10" s="9">
        <v>0</v>
      </c>
      <c r="H10" s="14" t="s">
        <v>3</v>
      </c>
      <c r="I10" s="1"/>
    </row>
    <row r="11" spans="1:9" x14ac:dyDescent="0.25">
      <c r="A11" s="1"/>
      <c r="B11" s="101" t="s">
        <v>80</v>
      </c>
      <c r="C11" s="102"/>
      <c r="D11" s="102"/>
      <c r="E11" s="102"/>
      <c r="F11" s="103"/>
      <c r="G11" s="9">
        <v>1466907.3783068783</v>
      </c>
      <c r="H11" s="14" t="s">
        <v>3</v>
      </c>
      <c r="I11" s="1"/>
    </row>
    <row r="12" spans="1:9" x14ac:dyDescent="0.25">
      <c r="A12" s="1"/>
      <c r="B12" s="115" t="s">
        <v>15</v>
      </c>
      <c r="C12" s="116"/>
      <c r="D12" s="116"/>
      <c r="E12" s="116"/>
      <c r="F12" s="117"/>
      <c r="G12" s="19">
        <f>(G9+G10)+G11</f>
        <v>-294621.62169312174</v>
      </c>
      <c r="H12" s="18" t="s">
        <v>3</v>
      </c>
      <c r="I12" s="1"/>
    </row>
    <row r="13" spans="1:9" x14ac:dyDescent="0.25">
      <c r="A13" s="1"/>
      <c r="B13" s="101" t="s">
        <v>13</v>
      </c>
      <c r="C13" s="102"/>
      <c r="D13" s="102"/>
      <c r="E13" s="102"/>
      <c r="F13" s="103"/>
      <c r="G13" s="9">
        <v>1</v>
      </c>
      <c r="H13" s="14" t="s">
        <v>27</v>
      </c>
      <c r="I13" s="1"/>
    </row>
    <row r="14" spans="1:9" x14ac:dyDescent="0.25">
      <c r="A14" s="1"/>
      <c r="B14" s="98" t="s">
        <v>136</v>
      </c>
      <c r="C14" s="99"/>
      <c r="D14" s="99"/>
      <c r="E14" s="99"/>
      <c r="F14" s="100"/>
      <c r="G14" s="12">
        <f>IF(G13 = 0,0,-G12/G13)</f>
        <v>294621.62169312174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YBWjhV+FoWezlTQb7QDzf8ZSwKqUH9wXULOchMSU/6WNpJ/pvka9nZ5nF2GL+h4lnjezZKQEznQai4BfYbDVQ==" saltValue="zWQ3IUtP2YkBtvnx2EMP5w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5" t="s">
        <v>54</v>
      </c>
      <c r="C3" s="85"/>
      <c r="D3" s="1"/>
    </row>
    <row r="4" spans="1:4" ht="25.5" customHeight="1" x14ac:dyDescent="0.25">
      <c r="A4" s="1"/>
      <c r="B4" s="85"/>
      <c r="C4" s="85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8"/>
      <c r="C13" s="100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46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6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46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+RGL4G3o7bKWTFbp5JZb06QRs+QYSwMGt8Y432rZfQyAu9D0SawwtW+jwLcBO50ZohDBj5U8YQJr7ynp/o7TRg==" saltValue="uPtefMlEoT61OZZ4Xwqq6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65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x14ac:dyDescent="0.25">
      <c r="A9" s="1"/>
      <c r="B9" s="45" t="s">
        <v>34</v>
      </c>
      <c r="C9" s="7">
        <f>'Fane 3. Omkostninger i ØR2019'!E22</f>
        <v>23385145.049684521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442486.57860000001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6367.0068000000001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404051.36697204836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-428149.78192280134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-230192.15536310713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-121655.3009693921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23458052.763801266</v>
      </c>
      <c r="D20" s="11" t="s">
        <v>3</v>
      </c>
      <c r="E20" s="1"/>
    </row>
    <row r="21" spans="1:5" ht="15" customHeight="1" x14ac:dyDescent="0.25">
      <c r="A21" s="1"/>
      <c r="B21" s="46" t="s">
        <v>17</v>
      </c>
      <c r="C21" s="47"/>
      <c r="D21" s="22"/>
      <c r="E21" s="1"/>
    </row>
    <row r="22" spans="1:5" ht="15" customHeight="1" x14ac:dyDescent="0.25">
      <c r="A22" s="1"/>
      <c r="B22" s="40" t="s">
        <v>17</v>
      </c>
      <c r="C22" s="10">
        <f>'Fane 6. Ikke-påvirkelige omk.'!C16</f>
        <v>14965458.902387731</v>
      </c>
      <c r="D22" s="11" t="s">
        <v>3</v>
      </c>
      <c r="E22" s="1"/>
    </row>
    <row r="23" spans="1:5" ht="15" customHeight="1" x14ac:dyDescent="0.25">
      <c r="A23" s="1"/>
      <c r="B23" s="46" t="s">
        <v>142</v>
      </c>
      <c r="C23" s="47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46" t="s">
        <v>11</v>
      </c>
      <c r="C27" s="47"/>
      <c r="D27" s="22"/>
      <c r="E27" s="1"/>
    </row>
    <row r="28" spans="1:5" ht="15" customHeight="1" x14ac:dyDescent="0.25">
      <c r="A28" s="1"/>
      <c r="B28" s="40" t="s">
        <v>19</v>
      </c>
      <c r="C28" s="10">
        <f>'Fane 13. Hist. over-underdæk.'!G14</f>
        <v>294621.62169312174</v>
      </c>
      <c r="D28" s="11" t="s">
        <v>3</v>
      </c>
      <c r="E28" s="1"/>
    </row>
    <row r="29" spans="1:5" ht="15" customHeight="1" x14ac:dyDescent="0.25">
      <c r="A29" s="1"/>
      <c r="B29" s="46" t="s">
        <v>53</v>
      </c>
      <c r="C29" s="47"/>
      <c r="D29" s="22"/>
      <c r="E29" s="1"/>
    </row>
    <row r="30" spans="1:5" x14ac:dyDescent="0.25">
      <c r="A30" s="1"/>
      <c r="B30" s="40" t="s">
        <v>218</v>
      </c>
      <c r="C30" s="10">
        <f>'Fane 7. Kontrol af ØR2018'!E32</f>
        <v>2896560.1785062165</v>
      </c>
      <c r="D30" s="11" t="s">
        <v>3</v>
      </c>
      <c r="E30" s="1"/>
    </row>
    <row r="31" spans="1:5" x14ac:dyDescent="0.25">
      <c r="A31" s="1"/>
      <c r="B31" s="46" t="s">
        <v>225</v>
      </c>
      <c r="C31" s="47"/>
      <c r="D31" s="22"/>
      <c r="E31" s="1"/>
    </row>
    <row r="32" spans="1:5" x14ac:dyDescent="0.25">
      <c r="A32" s="1"/>
      <c r="B32" s="40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6" t="s">
        <v>35</v>
      </c>
      <c r="C33" s="33">
        <f>SUM(C20,C22,C26,C28,C30,C32)</f>
        <v>41614693.466388337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43ABQr84edsxBQT86aqJDL5Bi0HBOkbfzimfeG2+Tbe4fsz3WQxPsITPs0jfzyp6iO9+f12EV3Gg4gcN7AaHAQ==" saltValue="ZSe/gnXvPU+UZ1axHhSQ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85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6" t="s">
        <v>20</v>
      </c>
      <c r="C8" s="47"/>
      <c r="D8" s="22"/>
      <c r="E8" s="1"/>
    </row>
    <row r="9" spans="1:5" ht="15" customHeight="1" x14ac:dyDescent="0.25">
      <c r="A9" s="1"/>
      <c r="B9" s="45" t="s">
        <v>36</v>
      </c>
      <c r="C9" s="7">
        <f>'Fane 2.1. Økonomisk ramme 2020'!C20</f>
        <v>23458052.763801266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462123.63944688492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-422534.74638993904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-230032.40200728519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-401002.24858406198</v>
      </c>
      <c r="D15" s="8" t="s">
        <v>3</v>
      </c>
      <c r="E15" s="1"/>
    </row>
    <row r="16" spans="1:5" ht="15" customHeight="1" x14ac:dyDescent="0.25">
      <c r="A16" s="1"/>
      <c r="B16" s="39" t="s">
        <v>28</v>
      </c>
      <c r="C16" s="10">
        <f>SUM(C9:C15)</f>
        <v>22866607.006266862</v>
      </c>
      <c r="D16" s="11" t="s">
        <v>3</v>
      </c>
      <c r="E16" s="1"/>
    </row>
    <row r="17" spans="1:5" x14ac:dyDescent="0.25">
      <c r="A17" s="1"/>
      <c r="B17" s="46" t="s">
        <v>17</v>
      </c>
      <c r="C17" s="47"/>
      <c r="D17" s="22"/>
      <c r="E17" s="1"/>
    </row>
    <row r="18" spans="1:5" ht="15" customHeight="1" x14ac:dyDescent="0.25">
      <c r="A18" s="1"/>
      <c r="B18" s="40" t="s">
        <v>17</v>
      </c>
      <c r="C18" s="10">
        <f>'Fane 6. Ikke-påvirkelige omk.'!C16*(1+'Fane 14. Nøgletal'!C12)</f>
        <v>15260278.44276477</v>
      </c>
      <c r="D18" s="11" t="s">
        <v>3</v>
      </c>
      <c r="E18" s="1"/>
    </row>
    <row r="19" spans="1:5" ht="15" customHeight="1" x14ac:dyDescent="0.25">
      <c r="A19" s="1"/>
      <c r="B19" s="46" t="s">
        <v>142</v>
      </c>
      <c r="C19" s="47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6" t="s">
        <v>160</v>
      </c>
      <c r="C23" s="47"/>
      <c r="D23" s="22"/>
      <c r="E23" s="1"/>
    </row>
    <row r="24" spans="1:5" ht="15" customHeight="1" x14ac:dyDescent="0.25">
      <c r="A24" s="1"/>
      <c r="B24" s="40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6" t="s">
        <v>44</v>
      </c>
      <c r="C25" s="12">
        <f>SUM(C16,C18,C22,C24)</f>
        <v>38126885.449031636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7MbB2mDOBYRuQ6ylCKXAbD2hpe860I/+bbO41ROdiCugJ0Z5s/zXuMUx4izDiDswNET72IK2rHsVSY+eHEZZ0Q==" saltValue="JaZzWqp28H+8J7Kb/+pC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193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36</v>
      </c>
      <c r="C8" s="7">
        <f>'Fane 2.2. Økonomisk ramme 2021'!C16</f>
        <v>22866607.006266862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450472.15802345716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-411881.41613787139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-229872.75952029214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-397289.17628334288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22278035.812348813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omk.'!C16*(1+'Fane 14. Nøgletal'!C12)^2</f>
        <v>15560905.928087236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6" t="s">
        <v>160</v>
      </c>
      <c r="C22" s="47"/>
      <c r="D22" s="22"/>
      <c r="E22" s="1"/>
    </row>
    <row r="23" spans="1:5" ht="15" customHeight="1" x14ac:dyDescent="0.25">
      <c r="A23" s="1"/>
      <c r="B23" s="40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6" t="s">
        <v>45</v>
      </c>
      <c r="C24" s="12">
        <f>SUM(C15,C17,C21,C23)</f>
        <v>37838941.740436047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NgPmYPbZgkBYatVp4FbePiXu7wz9jawf9eN1A8q8ZwAh3Xsyb5z/9Vc/e26pBTWFMKOzDbx68soKekk44My8w==" saltValue="trY/Jv69ztPBylwt9c5N2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5" t="s">
        <v>194</v>
      </c>
      <c r="C3" s="75"/>
      <c r="D3" s="75"/>
      <c r="E3" s="1"/>
    </row>
    <row r="4" spans="1:5" ht="15" customHeight="1" x14ac:dyDescent="0.25">
      <c r="A4" s="1"/>
      <c r="B4" s="75"/>
      <c r="C4" s="75"/>
      <c r="D4" s="75"/>
      <c r="E4" s="1"/>
    </row>
    <row r="5" spans="1:5" x14ac:dyDescent="0.25">
      <c r="A5" s="1"/>
      <c r="B5" s="76" t="s">
        <v>29</v>
      </c>
      <c r="C5" s="76"/>
      <c r="D5" s="76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6" t="s">
        <v>20</v>
      </c>
      <c r="C7" s="47"/>
      <c r="D7" s="22"/>
      <c r="E7" s="1"/>
    </row>
    <row r="8" spans="1:5" ht="15" customHeight="1" x14ac:dyDescent="0.25">
      <c r="A8" s="1"/>
      <c r="B8" s="45" t="s">
        <v>37</v>
      </c>
      <c r="C8" s="7">
        <f>'Fane 2.3. Økonomisk ramme 2022'!C15</f>
        <v>22278035.812348813</v>
      </c>
      <c r="D8" s="8" t="s">
        <v>3</v>
      </c>
      <c r="E8" s="1"/>
    </row>
    <row r="9" spans="1:5" ht="15" customHeight="1" x14ac:dyDescent="0.25">
      <c r="A9" s="1"/>
      <c r="B9" s="45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5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438877.30550327158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-401279.86354274931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-229713.22782518505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-393610.48510133079</v>
      </c>
      <c r="D14" s="8" t="s">
        <v>3</v>
      </c>
      <c r="E14" s="1"/>
    </row>
    <row r="15" spans="1:5" x14ac:dyDescent="0.25">
      <c r="A15" s="1"/>
      <c r="B15" s="39" t="s">
        <v>28</v>
      </c>
      <c r="C15" s="10">
        <f>SUM(C8:C14)</f>
        <v>21692309.541382819</v>
      </c>
      <c r="D15" s="11" t="s">
        <v>3</v>
      </c>
      <c r="E15" s="1"/>
    </row>
    <row r="16" spans="1:5" x14ac:dyDescent="0.25">
      <c r="A16" s="1"/>
      <c r="B16" s="46" t="s">
        <v>17</v>
      </c>
      <c r="C16" s="47"/>
      <c r="D16" s="22"/>
      <c r="E16" s="1"/>
    </row>
    <row r="17" spans="1:5" ht="15" customHeight="1" x14ac:dyDescent="0.25">
      <c r="A17" s="1"/>
      <c r="B17" s="40" t="s">
        <v>17</v>
      </c>
      <c r="C17" s="10">
        <f>'Fane 6. Ikke-påvirkelige omk.'!C16*(1+'Fane 14. Nøgletal'!C12)^3</f>
        <v>15867455.774870554</v>
      </c>
      <c r="D17" s="11" t="s">
        <v>3</v>
      </c>
      <c r="E17" s="1"/>
    </row>
    <row r="18" spans="1:5" ht="15" customHeight="1" x14ac:dyDescent="0.25">
      <c r="A18" s="1"/>
      <c r="B18" s="46" t="s">
        <v>142</v>
      </c>
      <c r="C18" s="47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6" t="s">
        <v>154</v>
      </c>
      <c r="C22" s="12">
        <f>SUM(C15,C17,C21)</f>
        <v>37559765.316253372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5qN4H8CIMwV3V125WpXrLohraTe/J0XHwMWdWoNLpKTnrD3xSuDgEXc4wqcK+xF+U3jtJEthSv3w+dYHL4gVQ==" saltValue="i/DzegpO/A9iS74Fz+tc5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5" t="s">
        <v>221</v>
      </c>
      <c r="C3" s="85"/>
      <c r="D3" s="85"/>
      <c r="E3" s="85"/>
      <c r="F3" s="85"/>
      <c r="G3" s="1"/>
    </row>
    <row r="4" spans="1:7" ht="29.25" customHeight="1" x14ac:dyDescent="0.25">
      <c r="A4" s="1"/>
      <c r="B4" s="85"/>
      <c r="C4" s="85"/>
      <c r="D4" s="85"/>
      <c r="E4" s="85"/>
      <c r="F4" s="85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84</v>
      </c>
      <c r="C8" s="47"/>
      <c r="D8" s="47"/>
      <c r="E8" s="47"/>
      <c r="F8" s="22"/>
      <c r="G8" s="1"/>
    </row>
    <row r="9" spans="1:7" x14ac:dyDescent="0.25">
      <c r="A9" s="1"/>
      <c r="B9" s="86" t="s">
        <v>81</v>
      </c>
      <c r="C9" s="87"/>
      <c r="D9" s="88"/>
      <c r="E9" s="7">
        <v>22750422.028669298</v>
      </c>
      <c r="F9" s="8" t="s">
        <v>3</v>
      </c>
      <c r="G9" s="1"/>
    </row>
    <row r="10" spans="1:7" x14ac:dyDescent="0.25">
      <c r="A10" s="1"/>
      <c r="B10" s="86" t="s">
        <v>82</v>
      </c>
      <c r="C10" s="87"/>
      <c r="D10" s="88"/>
      <c r="E10" s="7">
        <v>-660580.1068959923</v>
      </c>
      <c r="F10" s="8" t="s">
        <v>3</v>
      </c>
      <c r="G10" s="1"/>
    </row>
    <row r="11" spans="1:7" x14ac:dyDescent="0.25">
      <c r="A11" s="1"/>
      <c r="B11" s="86" t="s">
        <v>83</v>
      </c>
      <c r="C11" s="87"/>
      <c r="D11" s="88"/>
      <c r="E11" s="7">
        <v>1054671.8836130861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604936.52269999997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3373.0572999999999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401422.71521303005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-426669.43915058533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-221931.08314298437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-120500.52862133591</v>
      </c>
      <c r="F21" s="8" t="s">
        <v>3</v>
      </c>
      <c r="G21" s="1"/>
    </row>
    <row r="22" spans="1:7" x14ac:dyDescent="0.25">
      <c r="A22" s="1"/>
      <c r="B22" s="92" t="s">
        <v>28</v>
      </c>
      <c r="C22" s="93"/>
      <c r="D22" s="94"/>
      <c r="E22" s="10">
        <f>SUM(E9:E21)</f>
        <v>23385145.049684521</v>
      </c>
      <c r="F22" s="11" t="s">
        <v>3</v>
      </c>
      <c r="G22" s="1"/>
    </row>
    <row r="23" spans="1:7" x14ac:dyDescent="0.25">
      <c r="A23" s="1"/>
      <c r="B23" s="80" t="s">
        <v>17</v>
      </c>
      <c r="C23" s="81"/>
      <c r="D23" s="81"/>
      <c r="E23" s="47"/>
      <c r="F23" s="22"/>
      <c r="G23" s="1"/>
    </row>
    <row r="24" spans="1:7" x14ac:dyDescent="0.25">
      <c r="A24" s="1"/>
      <c r="B24" s="82" t="s">
        <v>17</v>
      </c>
      <c r="C24" s="83"/>
      <c r="D24" s="84"/>
      <c r="E24" s="10">
        <v>15041663.476988986</v>
      </c>
      <c r="F24" s="11" t="s">
        <v>3</v>
      </c>
      <c r="G24" s="1"/>
    </row>
    <row r="25" spans="1:7" x14ac:dyDescent="0.25">
      <c r="A25" s="1"/>
      <c r="B25" s="46" t="s">
        <v>130</v>
      </c>
      <c r="C25" s="47"/>
      <c r="D25" s="47"/>
      <c r="E25" s="47"/>
      <c r="F25" s="22"/>
      <c r="G25" s="1"/>
    </row>
    <row r="26" spans="1:7" ht="27" customHeight="1" x14ac:dyDescent="0.25">
      <c r="A26" s="1"/>
      <c r="B26" s="95" t="s">
        <v>132</v>
      </c>
      <c r="C26" s="96"/>
      <c r="D26" s="97"/>
      <c r="E26" s="10">
        <v>85928.05182138845</v>
      </c>
      <c r="F26" s="11" t="s">
        <v>3</v>
      </c>
      <c r="G26" s="1"/>
    </row>
    <row r="27" spans="1:7" x14ac:dyDescent="0.25">
      <c r="A27" s="1"/>
      <c r="B27" s="46" t="s">
        <v>11</v>
      </c>
      <c r="C27" s="47"/>
      <c r="D27" s="47"/>
      <c r="E27" s="47"/>
      <c r="F27" s="22"/>
      <c r="G27" s="1"/>
    </row>
    <row r="28" spans="1:7" x14ac:dyDescent="0.25">
      <c r="A28" s="1"/>
      <c r="B28" s="82" t="s">
        <v>19</v>
      </c>
      <c r="C28" s="83"/>
      <c r="D28" s="84"/>
      <c r="E28" s="10">
        <v>294621</v>
      </c>
      <c r="F28" s="11" t="s">
        <v>3</v>
      </c>
      <c r="G28" s="1"/>
    </row>
    <row r="29" spans="1:7" x14ac:dyDescent="0.25">
      <c r="A29" s="1"/>
      <c r="B29" s="46" t="s">
        <v>160</v>
      </c>
      <c r="C29" s="47"/>
      <c r="D29" s="47"/>
      <c r="E29" s="47"/>
      <c r="F29" s="22"/>
      <c r="G29" s="1"/>
    </row>
    <row r="30" spans="1:7" x14ac:dyDescent="0.25">
      <c r="A30" s="1"/>
      <c r="B30" s="82" t="s">
        <v>131</v>
      </c>
      <c r="C30" s="83"/>
      <c r="D30" s="84"/>
      <c r="E30" s="10">
        <v>3047708.7950764252</v>
      </c>
      <c r="F30" s="11" t="s">
        <v>3</v>
      </c>
      <c r="G30" s="1"/>
    </row>
    <row r="31" spans="1:7" x14ac:dyDescent="0.25">
      <c r="A31" s="1"/>
      <c r="B31" s="46" t="s">
        <v>23</v>
      </c>
      <c r="C31" s="47"/>
      <c r="D31" s="47"/>
      <c r="E31" s="12">
        <f>SUM(E28,E26,E24,E22,E30)</f>
        <v>41855066.373571314</v>
      </c>
      <c r="F31" s="13" t="s">
        <v>3</v>
      </c>
      <c r="G31" s="1"/>
    </row>
    <row r="32" spans="1:7" ht="28.15" customHeight="1" x14ac:dyDescent="0.25">
      <c r="A32" s="1"/>
      <c r="B32" s="89" t="s">
        <v>189</v>
      </c>
      <c r="C32" s="90"/>
      <c r="D32" s="90"/>
      <c r="E32" s="90"/>
      <c r="F32" s="9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+uhArBZ/D+jwgJnAgciOUOeP2txFHo5Xla2OTRPk/3MV9vwQwPsebV8a5PZejKSk3qZw28PfBORJJ2PskDjxLw==" saltValue="NKc7ylCxpp1J6otuaP6ENQ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5" t="s">
        <v>202</v>
      </c>
      <c r="C2" s="75"/>
      <c r="D2" s="75"/>
      <c r="E2" s="75"/>
      <c r="F2" s="75"/>
      <c r="G2" s="75"/>
      <c r="H2" s="75"/>
      <c r="I2" s="1"/>
    </row>
    <row r="3" spans="1:9" ht="15" customHeight="1" x14ac:dyDescent="0.25">
      <c r="A3" s="1"/>
      <c r="B3" s="75"/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98" t="s">
        <v>97</v>
      </c>
      <c r="C5" s="99"/>
      <c r="D5" s="99"/>
      <c r="E5" s="99"/>
      <c r="F5" s="99"/>
      <c r="G5" s="99"/>
      <c r="H5" s="100"/>
      <c r="I5" s="1"/>
    </row>
    <row r="6" spans="1:9" x14ac:dyDescent="0.25">
      <c r="A6" s="1"/>
      <c r="B6" s="101" t="s">
        <v>86</v>
      </c>
      <c r="C6" s="102"/>
      <c r="D6" s="102"/>
      <c r="E6" s="102"/>
      <c r="F6" s="103"/>
      <c r="G6" s="26">
        <v>11276799.835869793</v>
      </c>
      <c r="H6" s="14" t="s">
        <v>3</v>
      </c>
      <c r="I6" s="1"/>
    </row>
    <row r="7" spans="1:9" x14ac:dyDescent="0.25">
      <c r="A7" s="1"/>
      <c r="B7" s="101" t="s">
        <v>87</v>
      </c>
      <c r="C7" s="102"/>
      <c r="D7" s="102"/>
      <c r="E7" s="102"/>
      <c r="F7" s="103"/>
      <c r="G7" s="26">
        <f>G6*'Fane 14. Nøgletal'!C25</f>
        <v>225535.99671739587</v>
      </c>
      <c r="H7" s="14" t="s">
        <v>3</v>
      </c>
      <c r="I7" s="1"/>
    </row>
    <row r="8" spans="1:9" x14ac:dyDescent="0.25">
      <c r="A8" s="1"/>
      <c r="B8" s="46"/>
      <c r="C8" s="47"/>
      <c r="D8" s="47"/>
      <c r="E8" s="47"/>
      <c r="F8" s="47"/>
      <c r="G8" s="47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8" t="s">
        <v>98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88</v>
      </c>
      <c r="C11" s="102"/>
      <c r="D11" s="102"/>
      <c r="E11" s="102"/>
      <c r="F11" s="103"/>
      <c r="G11" s="26">
        <f>(G6-G7)*(1+'Fane 14. Nøgletal'!C9)</f>
        <v>11191614.889909633</v>
      </c>
      <c r="H11" s="14" t="s">
        <v>3</v>
      </c>
      <c r="I11" s="1"/>
    </row>
    <row r="12" spans="1:9" x14ac:dyDescent="0.25">
      <c r="A12" s="1"/>
      <c r="B12" s="104" t="s">
        <v>89</v>
      </c>
      <c r="C12" s="105"/>
      <c r="D12" s="105"/>
      <c r="E12" s="105"/>
      <c r="F12" s="106"/>
      <c r="G12" s="26">
        <v>0</v>
      </c>
      <c r="H12" s="14" t="s">
        <v>3</v>
      </c>
      <c r="I12" s="1"/>
    </row>
    <row r="13" spans="1:9" x14ac:dyDescent="0.25">
      <c r="A13" s="1"/>
      <c r="B13" s="101" t="s">
        <v>90</v>
      </c>
      <c r="C13" s="102"/>
      <c r="D13" s="102"/>
      <c r="E13" s="102"/>
      <c r="F13" s="103"/>
      <c r="G13" s="26">
        <f>(G11+G12)*'Fane 14. Nøgletal'!C25</f>
        <v>223832.29779819265</v>
      </c>
      <c r="H13" s="14" t="s">
        <v>3</v>
      </c>
      <c r="I13" s="1"/>
    </row>
    <row r="14" spans="1:9" x14ac:dyDescent="0.25">
      <c r="A14" s="1"/>
      <c r="B14" s="46"/>
      <c r="C14" s="47"/>
      <c r="D14" s="47"/>
      <c r="E14" s="47"/>
      <c r="F14" s="47"/>
      <c r="G14" s="47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8" t="s">
        <v>99</v>
      </c>
      <c r="C16" s="99"/>
      <c r="D16" s="99"/>
      <c r="E16" s="99"/>
      <c r="F16" s="99"/>
      <c r="G16" s="99"/>
      <c r="H16" s="100"/>
      <c r="I16" s="1"/>
    </row>
    <row r="17" spans="1:9" x14ac:dyDescent="0.25">
      <c r="A17" s="1"/>
      <c r="B17" s="101" t="s">
        <v>91</v>
      </c>
      <c r="C17" s="102"/>
      <c r="D17" s="102"/>
      <c r="E17" s="102"/>
      <c r="F17" s="103"/>
      <c r="G17" s="26">
        <f>(G13/'Fane 14. Nøgletal'!C25-G13)*(1+'Fane 14. Nøgletal'!C11)</f>
        <v>11153138.117918123</v>
      </c>
      <c r="H17" s="14" t="s">
        <v>3</v>
      </c>
      <c r="I17" s="1"/>
    </row>
    <row r="18" spans="1:9" x14ac:dyDescent="0.25">
      <c r="A18" s="1"/>
      <c r="B18" s="101" t="s">
        <v>222</v>
      </c>
      <c r="C18" s="102"/>
      <c r="D18" s="102"/>
      <c r="E18" s="102"/>
      <c r="F18" s="103"/>
      <c r="G18" s="26">
        <v>-671743.91070253449</v>
      </c>
      <c r="H18" s="14" t="s">
        <v>3</v>
      </c>
      <c r="I18" s="1"/>
    </row>
    <row r="19" spans="1:9" x14ac:dyDescent="0.25">
      <c r="A19" s="1"/>
      <c r="B19" s="104" t="s">
        <v>92</v>
      </c>
      <c r="C19" s="105"/>
      <c r="D19" s="105"/>
      <c r="E19" s="105"/>
      <c r="F19" s="106"/>
      <c r="G19" s="26">
        <v>615159.94993362983</v>
      </c>
      <c r="H19" s="14" t="s">
        <v>3</v>
      </c>
      <c r="I19" s="1"/>
    </row>
    <row r="20" spans="1:9" x14ac:dyDescent="0.25">
      <c r="A20" s="1"/>
      <c r="B20" s="101" t="s">
        <v>93</v>
      </c>
      <c r="C20" s="102"/>
      <c r="D20" s="102"/>
      <c r="E20" s="102"/>
      <c r="F20" s="103"/>
      <c r="G20" s="26">
        <f>SUM(G17:G19)*'Fane 14. Nøgletal'!C25</f>
        <v>221931.08314298437</v>
      </c>
      <c r="H20" s="14" t="s">
        <v>3</v>
      </c>
      <c r="I20" s="1"/>
    </row>
    <row r="21" spans="1:9" x14ac:dyDescent="0.25">
      <c r="A21" s="1"/>
      <c r="B21" s="46"/>
      <c r="C21" s="47"/>
      <c r="D21" s="47"/>
      <c r="E21" s="47"/>
      <c r="F21" s="47"/>
      <c r="G21" s="47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8" t="s">
        <v>100</v>
      </c>
      <c r="C23" s="99"/>
      <c r="D23" s="99"/>
      <c r="E23" s="99"/>
      <c r="F23" s="99"/>
      <c r="G23" s="99"/>
      <c r="H23" s="100"/>
      <c r="I23" s="1"/>
    </row>
    <row r="24" spans="1:9" x14ac:dyDescent="0.25">
      <c r="A24" s="1"/>
      <c r="B24" s="101" t="s">
        <v>94</v>
      </c>
      <c r="C24" s="102"/>
      <c r="D24" s="102"/>
      <c r="E24" s="102"/>
      <c r="F24" s="103"/>
      <c r="G24" s="26">
        <f>(SUM(G17:G19)-G20)*(1+'Fane 14. Nøgletal'!C11)</f>
        <v>11058404.203956937</v>
      </c>
      <c r="H24" s="14" t="s">
        <v>3</v>
      </c>
      <c r="I24" s="1"/>
    </row>
    <row r="25" spans="1:9" x14ac:dyDescent="0.25">
      <c r="A25" s="1"/>
      <c r="B25" s="104" t="s">
        <v>95</v>
      </c>
      <c r="C25" s="105"/>
      <c r="D25" s="105"/>
      <c r="E25" s="105"/>
      <c r="F25" s="106"/>
      <c r="G25" s="26">
        <f>('Fane 2.1. Økonomisk ramme 2020'!C10+'Fane 2.1. Økonomisk ramme 2020'!C12+'Fane 2.1. Økonomisk ramme 2020'!C14)*(1+'Fane 14. Nøgletal'!C12)</f>
        <v>451203.56419842003</v>
      </c>
      <c r="H25" s="14" t="s">
        <v>3</v>
      </c>
      <c r="I25" s="1"/>
    </row>
    <row r="26" spans="1:9" x14ac:dyDescent="0.25">
      <c r="A26" s="1"/>
      <c r="B26" s="101" t="s">
        <v>96</v>
      </c>
      <c r="C26" s="102"/>
      <c r="D26" s="102"/>
      <c r="E26" s="102"/>
      <c r="F26" s="103"/>
      <c r="G26" s="26">
        <f>(G24+G25)*'Fane 14. Nøgletal'!C25</f>
        <v>230192.15536310713</v>
      </c>
      <c r="H26" s="14" t="s">
        <v>3</v>
      </c>
      <c r="I26" s="1"/>
    </row>
    <row r="27" spans="1:9" x14ac:dyDescent="0.25">
      <c r="A27" s="1"/>
      <c r="B27" s="46"/>
      <c r="C27" s="47"/>
      <c r="D27" s="47"/>
      <c r="E27" s="47"/>
      <c r="F27" s="47"/>
      <c r="G27" s="47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8" t="s">
        <v>191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1" t="s">
        <v>103</v>
      </c>
      <c r="C30" s="102"/>
      <c r="D30" s="102"/>
      <c r="E30" s="102"/>
      <c r="F30" s="103"/>
      <c r="G30" s="26">
        <f>(G24+G25-G26)*(1+'Fane 14. Nøgletal'!C12)</f>
        <v>11501620.100364259</v>
      </c>
      <c r="H30" s="14" t="s">
        <v>3</v>
      </c>
      <c r="I30" s="1"/>
    </row>
    <row r="31" spans="1:9" x14ac:dyDescent="0.25">
      <c r="A31" s="1"/>
      <c r="B31" s="101" t="s">
        <v>145</v>
      </c>
      <c r="C31" s="102"/>
      <c r="D31" s="102"/>
      <c r="E31" s="102"/>
      <c r="F31" s="103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1" t="s">
        <v>220</v>
      </c>
      <c r="C32" s="102"/>
      <c r="D32" s="102"/>
      <c r="E32" s="102"/>
      <c r="F32" s="103"/>
      <c r="G32" s="26">
        <f>(G30+G31)*'Fane 14. Nøgletal'!C25</f>
        <v>230032.40200728519</v>
      </c>
      <c r="H32" s="14" t="s">
        <v>3</v>
      </c>
      <c r="I32" s="1"/>
    </row>
    <row r="33" spans="1:9" x14ac:dyDescent="0.25">
      <c r="A33" s="1"/>
      <c r="B33" s="46"/>
      <c r="C33" s="47"/>
      <c r="D33" s="47"/>
      <c r="E33" s="47"/>
      <c r="F33" s="47"/>
      <c r="G33" s="47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8" t="s">
        <v>126</v>
      </c>
      <c r="C35" s="99"/>
      <c r="D35" s="99"/>
      <c r="E35" s="99"/>
      <c r="F35" s="99"/>
      <c r="G35" s="99"/>
      <c r="H35" s="100"/>
      <c r="I35" s="1"/>
    </row>
    <row r="36" spans="1:9" x14ac:dyDescent="0.25">
      <c r="A36" s="1"/>
      <c r="B36" s="101" t="s">
        <v>125</v>
      </c>
      <c r="C36" s="102"/>
      <c r="D36" s="102"/>
      <c r="E36" s="102"/>
      <c r="F36" s="103"/>
      <c r="G36" s="26">
        <f>(G30-G32)*(1+'Fane 14. Nøgletal'!C12)</f>
        <v>11493637.976014607</v>
      </c>
      <c r="H36" s="14" t="s">
        <v>3</v>
      </c>
      <c r="I36" s="1"/>
    </row>
    <row r="37" spans="1:9" x14ac:dyDescent="0.25">
      <c r="A37" s="1"/>
      <c r="B37" s="101" t="s">
        <v>146</v>
      </c>
      <c r="C37" s="102"/>
      <c r="D37" s="102"/>
      <c r="E37" s="102"/>
      <c r="F37" s="103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1" t="s">
        <v>104</v>
      </c>
      <c r="C38" s="102"/>
      <c r="D38" s="102"/>
      <c r="E38" s="102"/>
      <c r="F38" s="103"/>
      <c r="G38" s="26">
        <f>(G36+G37)*'Fane 14. Nøgletal'!C25</f>
        <v>229872.75952029214</v>
      </c>
      <c r="H38" s="14" t="s">
        <v>3</v>
      </c>
      <c r="I38" s="1"/>
    </row>
    <row r="39" spans="1:9" x14ac:dyDescent="0.25">
      <c r="A39" s="1"/>
      <c r="B39" s="46"/>
      <c r="C39" s="47"/>
      <c r="D39" s="47"/>
      <c r="E39" s="47"/>
      <c r="F39" s="47"/>
      <c r="G39" s="47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8" t="s">
        <v>127</v>
      </c>
      <c r="C41" s="99"/>
      <c r="D41" s="99"/>
      <c r="E41" s="99"/>
      <c r="F41" s="99"/>
      <c r="G41" s="99"/>
      <c r="H41" s="100"/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26">
        <f>(G36-G38)*(1+'Fane 14. Nøgletal'!C12)</f>
        <v>11485661.391259253</v>
      </c>
      <c r="H42" s="14" t="s">
        <v>3</v>
      </c>
      <c r="I42" s="1"/>
    </row>
    <row r="43" spans="1:9" x14ac:dyDescent="0.25">
      <c r="A43" s="1"/>
      <c r="B43" s="101" t="s">
        <v>147</v>
      </c>
      <c r="C43" s="102"/>
      <c r="D43" s="102"/>
      <c r="E43" s="102"/>
      <c r="F43" s="103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1" t="s">
        <v>105</v>
      </c>
      <c r="C44" s="102"/>
      <c r="D44" s="102"/>
      <c r="E44" s="102"/>
      <c r="F44" s="103"/>
      <c r="G44" s="26">
        <f>(G42+G43)*'Fane 14. Nøgletal'!C25</f>
        <v>229713.22782518505</v>
      </c>
      <c r="H44" s="14" t="s">
        <v>3</v>
      </c>
      <c r="I44" s="1"/>
    </row>
    <row r="45" spans="1:9" x14ac:dyDescent="0.25">
      <c r="A45" s="1"/>
      <c r="B45" s="46"/>
      <c r="C45" s="47"/>
      <c r="D45" s="47"/>
      <c r="E45" s="47"/>
      <c r="F45" s="47"/>
      <c r="G45" s="47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Gj/IPxsPCq7tF1iEwRkn+JL8HYMunafgu2/SZmelEqXqUd9+Rqc/nUvqStmtrrajb6pY75P2VCswoj25Fk9cg==" saltValue="C99t88yIRyumOTP2dQw8Iw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7" t="s">
        <v>203</v>
      </c>
      <c r="C2" s="107"/>
      <c r="D2" s="107"/>
      <c r="E2" s="107"/>
      <c r="F2" s="107"/>
      <c r="G2" s="107"/>
      <c r="H2" s="107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8" t="s">
        <v>101</v>
      </c>
      <c r="C4" s="99"/>
      <c r="D4" s="99"/>
      <c r="E4" s="99"/>
      <c r="F4" s="99"/>
      <c r="G4" s="99"/>
      <c r="H4" s="100"/>
      <c r="I4" s="1"/>
    </row>
    <row r="5" spans="1:9" x14ac:dyDescent="0.25">
      <c r="A5" s="1"/>
      <c r="B5" s="101" t="s">
        <v>106</v>
      </c>
      <c r="C5" s="102"/>
      <c r="D5" s="102"/>
      <c r="E5" s="102"/>
      <c r="F5" s="103"/>
      <c r="G5" s="26">
        <v>12633751.239371443</v>
      </c>
      <c r="H5" s="14" t="s">
        <v>3</v>
      </c>
      <c r="I5" s="1"/>
    </row>
    <row r="6" spans="1:9" x14ac:dyDescent="0.25">
      <c r="A6" s="1"/>
      <c r="B6" s="101" t="s">
        <v>102</v>
      </c>
      <c r="C6" s="102"/>
      <c r="D6" s="102"/>
      <c r="E6" s="102"/>
      <c r="F6" s="103"/>
      <c r="G6" s="26">
        <f>G5*'Fane 14. Nøgletal'!C17</f>
        <v>114967.13627828014</v>
      </c>
      <c r="H6" s="14" t="s">
        <v>3</v>
      </c>
      <c r="I6" s="1"/>
    </row>
    <row r="7" spans="1:9" x14ac:dyDescent="0.25">
      <c r="A7" s="1"/>
      <c r="B7" s="46"/>
      <c r="C7" s="47"/>
      <c r="D7" s="47"/>
      <c r="E7" s="47"/>
      <c r="F7" s="47"/>
      <c r="G7" s="47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8" t="s">
        <v>107</v>
      </c>
      <c r="C9" s="99"/>
      <c r="D9" s="99"/>
      <c r="E9" s="99"/>
      <c r="F9" s="99"/>
      <c r="G9" s="99"/>
      <c r="H9" s="100"/>
      <c r="I9" s="1"/>
    </row>
    <row r="10" spans="1:9" x14ac:dyDescent="0.25">
      <c r="A10" s="1"/>
      <c r="B10" s="101" t="s">
        <v>108</v>
      </c>
      <c r="C10" s="102"/>
      <c r="D10" s="102"/>
      <c r="E10" s="102"/>
      <c r="F10" s="103"/>
      <c r="G10" s="26">
        <f>(G5-G6)*(1+'Fane 14. Nøgletal'!C9)</f>
        <v>12677772.661202444</v>
      </c>
      <c r="H10" s="14" t="s">
        <v>3</v>
      </c>
      <c r="I10" s="1"/>
    </row>
    <row r="11" spans="1:9" x14ac:dyDescent="0.25">
      <c r="A11" s="1"/>
      <c r="B11" s="104" t="s">
        <v>109</v>
      </c>
      <c r="C11" s="105"/>
      <c r="D11" s="105"/>
      <c r="E11" s="105"/>
      <c r="F11" s="106"/>
      <c r="G11" s="26">
        <v>0</v>
      </c>
      <c r="H11" s="14" t="s">
        <v>3</v>
      </c>
      <c r="I11" s="1"/>
    </row>
    <row r="12" spans="1:9" x14ac:dyDescent="0.25">
      <c r="A12" s="1"/>
      <c r="B12" s="101" t="s">
        <v>110</v>
      </c>
      <c r="C12" s="102"/>
      <c r="D12" s="102"/>
      <c r="E12" s="102"/>
      <c r="F12" s="103"/>
      <c r="G12" s="26">
        <f>G10*'Fane 14. Nøgletal'!C17+G11*'Fane 14. Nøgletal'!C18</f>
        <v>115367.73121694225</v>
      </c>
      <c r="H12" s="14" t="s">
        <v>3</v>
      </c>
      <c r="I12" s="1"/>
    </row>
    <row r="13" spans="1:9" x14ac:dyDescent="0.25">
      <c r="A13" s="1"/>
      <c r="B13" s="46"/>
      <c r="C13" s="47"/>
      <c r="D13" s="47"/>
      <c r="E13" s="47"/>
      <c r="F13" s="47"/>
      <c r="G13" s="47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8" t="s">
        <v>111</v>
      </c>
      <c r="C15" s="99"/>
      <c r="D15" s="99"/>
      <c r="E15" s="99"/>
      <c r="F15" s="99"/>
      <c r="G15" s="99"/>
      <c r="H15" s="100"/>
      <c r="I15" s="1"/>
    </row>
    <row r="16" spans="1:9" x14ac:dyDescent="0.25">
      <c r="A16" s="1"/>
      <c r="B16" s="101" t="s">
        <v>112</v>
      </c>
      <c r="C16" s="102"/>
      <c r="D16" s="102"/>
      <c r="E16" s="102"/>
      <c r="F16" s="103"/>
      <c r="G16" s="26">
        <f>(G10+G11-G12)*(1+'Fane 14. Nøgletal'!C11)</f>
        <v>12774709.573302254</v>
      </c>
      <c r="H16" s="14" t="s">
        <v>3</v>
      </c>
      <c r="I16" s="1"/>
    </row>
    <row r="17" spans="1:9" x14ac:dyDescent="0.25">
      <c r="A17" s="1"/>
      <c r="B17" s="101" t="s">
        <v>223</v>
      </c>
      <c r="C17" s="102"/>
      <c r="D17" s="102"/>
      <c r="E17" s="102"/>
      <c r="F17" s="103"/>
      <c r="G17" s="26">
        <v>1072495.838446147</v>
      </c>
      <c r="H17" s="14" t="s">
        <v>3</v>
      </c>
      <c r="I17" s="1"/>
    </row>
    <row r="18" spans="1:9" x14ac:dyDescent="0.25">
      <c r="A18" s="1"/>
      <c r="B18" s="104" t="s">
        <v>113</v>
      </c>
      <c r="C18" s="105"/>
      <c r="D18" s="105"/>
      <c r="E18" s="105"/>
      <c r="F18" s="106"/>
      <c r="G18" s="26">
        <v>3430.0619683699992</v>
      </c>
      <c r="H18" s="14" t="s">
        <v>3</v>
      </c>
      <c r="I18" s="1"/>
    </row>
    <row r="19" spans="1:9" x14ac:dyDescent="0.25">
      <c r="A19" s="1"/>
      <c r="B19" s="101" t="s">
        <v>114</v>
      </c>
      <c r="C19" s="102"/>
      <c r="D19" s="102"/>
      <c r="E19" s="102"/>
      <c r="F19" s="103"/>
      <c r="G19" s="26">
        <f>SUM(G16:G18)*'Fane 14. Nøgletal'!C19</f>
        <v>120500.52862133591</v>
      </c>
      <c r="H19" s="14" t="s">
        <v>3</v>
      </c>
      <c r="I19" s="1"/>
    </row>
    <row r="20" spans="1:9" x14ac:dyDescent="0.25">
      <c r="A20" s="1"/>
      <c r="B20" s="46"/>
      <c r="C20" s="47"/>
      <c r="D20" s="47"/>
      <c r="E20" s="47"/>
      <c r="F20" s="47"/>
      <c r="G20" s="47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8" t="s">
        <v>115</v>
      </c>
      <c r="C22" s="99"/>
      <c r="D22" s="99"/>
      <c r="E22" s="99"/>
      <c r="F22" s="99"/>
      <c r="G22" s="99"/>
      <c r="H22" s="100"/>
      <c r="I22" s="1"/>
    </row>
    <row r="23" spans="1:9" x14ac:dyDescent="0.25">
      <c r="A23" s="1"/>
      <c r="B23" s="101" t="s">
        <v>116</v>
      </c>
      <c r="C23" s="102"/>
      <c r="D23" s="102"/>
      <c r="E23" s="102"/>
      <c r="F23" s="103"/>
      <c r="G23" s="26">
        <f>(SUM(G16:G18)-G19)*(1+'Fane 14. Nøgletal'!C11)</f>
        <v>13962174.225667546</v>
      </c>
      <c r="H23" s="14" t="s">
        <v>3</v>
      </c>
      <c r="I23" s="1"/>
    </row>
    <row r="24" spans="1:9" x14ac:dyDescent="0.25">
      <c r="A24" s="1"/>
      <c r="B24" s="104" t="s">
        <v>117</v>
      </c>
      <c r="C24" s="105"/>
      <c r="D24" s="105"/>
      <c r="E24" s="105"/>
      <c r="F24" s="106"/>
      <c r="G24" s="26">
        <f>('Fane 2.1. Økonomisk ramme 2020'!C11+'Fane 2.1. Økonomisk ramme 2020'!C13+'Fane 2.1. Økonomisk ramme 2020'!C15)*(1+'Fane 14. Nøgletal'!C12)</f>
        <v>6492.4368339600005</v>
      </c>
      <c r="H24" s="14" t="s">
        <v>3</v>
      </c>
      <c r="I24" s="1"/>
    </row>
    <row r="25" spans="1:9" x14ac:dyDescent="0.25">
      <c r="A25" s="1"/>
      <c r="B25" s="101" t="s">
        <v>118</v>
      </c>
      <c r="C25" s="102"/>
      <c r="D25" s="102"/>
      <c r="E25" s="102"/>
      <c r="F25" s="103"/>
      <c r="G25" s="26">
        <f>G23*'Fane 14. Nøgletal'!C19+G24*'Fane 14. Nøgletal'!C20</f>
        <v>121655.3009693921</v>
      </c>
      <c r="H25" s="14" t="s">
        <v>3</v>
      </c>
      <c r="I25" s="1"/>
    </row>
    <row r="26" spans="1:9" x14ac:dyDescent="0.25">
      <c r="A26" s="1"/>
      <c r="B26" s="46"/>
      <c r="C26" s="47"/>
      <c r="D26" s="47"/>
      <c r="E26" s="47"/>
      <c r="F26" s="47"/>
      <c r="G26" s="47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8" t="s">
        <v>190</v>
      </c>
      <c r="C28" s="99"/>
      <c r="D28" s="99"/>
      <c r="E28" s="99"/>
      <c r="F28" s="99"/>
      <c r="G28" s="99"/>
      <c r="H28" s="100"/>
      <c r="I28" s="1"/>
    </row>
    <row r="29" spans="1:9" x14ac:dyDescent="0.25">
      <c r="A29" s="1"/>
      <c r="B29" s="101" t="s">
        <v>119</v>
      </c>
      <c r="C29" s="102"/>
      <c r="D29" s="102"/>
      <c r="E29" s="102"/>
      <c r="F29" s="103"/>
      <c r="G29" s="26">
        <f>(G23+G24-G25)*(1+'Fane 14. Nøgletal'!C12)</f>
        <v>14119797.485354295</v>
      </c>
      <c r="H29" s="14" t="s">
        <v>3</v>
      </c>
      <c r="I29" s="1"/>
    </row>
    <row r="30" spans="1:9" x14ac:dyDescent="0.25">
      <c r="A30" s="1"/>
      <c r="B30" s="101" t="s">
        <v>151</v>
      </c>
      <c r="C30" s="102"/>
      <c r="D30" s="102"/>
      <c r="E30" s="102"/>
      <c r="F30" s="103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1" t="s">
        <v>219</v>
      </c>
      <c r="C31" s="102"/>
      <c r="D31" s="102"/>
      <c r="E31" s="102"/>
      <c r="F31" s="103"/>
      <c r="G31" s="26">
        <f>(G29+G30)*'Fane 14. Nøgletal'!C20</f>
        <v>401002.24858406198</v>
      </c>
      <c r="H31" s="14" t="s">
        <v>3</v>
      </c>
      <c r="I31" s="1"/>
    </row>
    <row r="32" spans="1:9" x14ac:dyDescent="0.25">
      <c r="A32" s="1"/>
      <c r="B32" s="46"/>
      <c r="C32" s="47"/>
      <c r="D32" s="47"/>
      <c r="E32" s="47"/>
      <c r="F32" s="47"/>
      <c r="G32" s="47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8" t="s">
        <v>128</v>
      </c>
      <c r="C34" s="99"/>
      <c r="D34" s="99"/>
      <c r="E34" s="99"/>
      <c r="F34" s="99"/>
      <c r="G34" s="99"/>
      <c r="H34" s="100"/>
      <c r="I34" s="1"/>
    </row>
    <row r="35" spans="1:9" x14ac:dyDescent="0.25">
      <c r="A35" s="1"/>
      <c r="B35" s="101" t="s">
        <v>123</v>
      </c>
      <c r="C35" s="102"/>
      <c r="D35" s="102"/>
      <c r="E35" s="102"/>
      <c r="F35" s="103"/>
      <c r="G35" s="26">
        <f>(G29-G31)*(1+'Fane 14. Nøgletal'!C12)</f>
        <v>13989055.502934607</v>
      </c>
      <c r="H35" s="14" t="s">
        <v>3</v>
      </c>
      <c r="I35" s="1"/>
    </row>
    <row r="36" spans="1:9" x14ac:dyDescent="0.25">
      <c r="A36" s="1"/>
      <c r="B36" s="101" t="s">
        <v>152</v>
      </c>
      <c r="C36" s="102"/>
      <c r="D36" s="102"/>
      <c r="E36" s="102"/>
      <c r="F36" s="103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1" t="s">
        <v>120</v>
      </c>
      <c r="C37" s="102"/>
      <c r="D37" s="102"/>
      <c r="E37" s="102"/>
      <c r="F37" s="103"/>
      <c r="G37" s="26">
        <f>(G35+G36)*'Fane 14. Nøgletal'!C20</f>
        <v>397289.17628334288</v>
      </c>
      <c r="H37" s="14" t="s">
        <v>3</v>
      </c>
      <c r="I37" s="1"/>
    </row>
    <row r="38" spans="1:9" x14ac:dyDescent="0.25">
      <c r="A38" s="1"/>
      <c r="B38" s="46"/>
      <c r="C38" s="47"/>
      <c r="D38" s="47"/>
      <c r="E38" s="47"/>
      <c r="F38" s="47"/>
      <c r="G38" s="47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8" t="s">
        <v>129</v>
      </c>
      <c r="C40" s="99"/>
      <c r="D40" s="99"/>
      <c r="E40" s="99"/>
      <c r="F40" s="99"/>
      <c r="G40" s="99"/>
      <c r="H40" s="100"/>
      <c r="I40" s="1"/>
    </row>
    <row r="41" spans="1:9" x14ac:dyDescent="0.25">
      <c r="A41" s="1"/>
      <c r="B41" s="101" t="s">
        <v>122</v>
      </c>
      <c r="C41" s="102"/>
      <c r="D41" s="102"/>
      <c r="E41" s="102"/>
      <c r="F41" s="103"/>
      <c r="G41" s="26">
        <f>(G35-G37)*(1+'Fane 14. Nøgletal'!C12)</f>
        <v>13859524.123286294</v>
      </c>
      <c r="H41" s="14" t="s">
        <v>3</v>
      </c>
      <c r="I41" s="1"/>
    </row>
    <row r="42" spans="1:9" x14ac:dyDescent="0.25">
      <c r="A42" s="1"/>
      <c r="B42" s="101" t="s">
        <v>153</v>
      </c>
      <c r="C42" s="102"/>
      <c r="D42" s="102"/>
      <c r="E42" s="102"/>
      <c r="F42" s="103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1" t="s">
        <v>121</v>
      </c>
      <c r="C43" s="102"/>
      <c r="D43" s="102"/>
      <c r="E43" s="102"/>
      <c r="F43" s="103"/>
      <c r="G43" s="26">
        <f>(G41+G42)*'Fane 14. Nøgletal'!C20</f>
        <v>393610.48510133079</v>
      </c>
      <c r="H43" s="14" t="s">
        <v>3</v>
      </c>
      <c r="I43" s="1"/>
    </row>
    <row r="44" spans="1:9" x14ac:dyDescent="0.25">
      <c r="A44" s="1"/>
      <c r="B44" s="46"/>
      <c r="C44" s="47"/>
      <c r="D44" s="47"/>
      <c r="E44" s="47"/>
      <c r="F44" s="47"/>
      <c r="G44" s="47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TRBrTLdnSshSEkmjxnjjRPwGOWHO/hxL9AZarReqdpJ0ntuVWXzlyEdl14cJHGCrxUhlluxxX8CVg35tEa+/Q==" saltValue="Ad16t5P8qNfwqBYk8Ardsg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5" t="s">
        <v>144</v>
      </c>
      <c r="C3" s="75"/>
      <c r="D3" s="75"/>
      <c r="E3" s="75"/>
      <c r="F3" s="75"/>
      <c r="G3" s="75"/>
      <c r="H3" s="75"/>
      <c r="I3" s="1"/>
    </row>
    <row r="4" spans="1:9" ht="15" customHeight="1" x14ac:dyDescent="0.25">
      <c r="A4" s="1"/>
      <c r="B4" s="75"/>
      <c r="C4" s="75"/>
      <c r="D4" s="75"/>
      <c r="E4" s="75"/>
      <c r="F4" s="75"/>
      <c r="G4" s="75"/>
      <c r="H4" s="7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178</v>
      </c>
      <c r="C9" s="102"/>
      <c r="D9" s="102"/>
      <c r="E9" s="102"/>
      <c r="F9" s="103"/>
      <c r="G9" s="25">
        <v>1.6799400846313192E-2</v>
      </c>
      <c r="H9" s="14"/>
      <c r="I9" s="1"/>
    </row>
    <row r="10" spans="1:9" x14ac:dyDescent="0.25">
      <c r="A10" s="1"/>
      <c r="B10" s="101" t="s">
        <v>179</v>
      </c>
      <c r="C10" s="102"/>
      <c r="D10" s="102"/>
      <c r="E10" s="102"/>
      <c r="F10" s="103"/>
      <c r="G10" s="25">
        <v>1.7664365816824099E-2</v>
      </c>
      <c r="H10" s="14"/>
      <c r="I10" s="1"/>
    </row>
    <row r="11" spans="1:9" x14ac:dyDescent="0.25">
      <c r="A11" s="1"/>
      <c r="B11" s="46"/>
      <c r="C11" s="47"/>
      <c r="D11" s="47"/>
      <c r="E11" s="47"/>
      <c r="F11" s="47"/>
      <c r="G11" s="47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8"/>
      <c r="C13" s="108"/>
      <c r="D13" s="108"/>
      <c r="E13" s="108"/>
      <c r="F13" s="108"/>
      <c r="G13" s="108"/>
      <c r="H13" s="108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6EeHTByR94qtnFjAORXFdT1srumGKK+nUEhB3I14ORAeCDpIoQfLE6rpBwdAcVM00KxJM8+iOgWxt1G8mePEFw==" saltValue="eM8xdw72hO7cvbdoLABsmw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2019-10-14T14:16:03Z</dcterms:modified>
</cp:coreProperties>
</file>