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ingkøbing-Skjern Vand AS (V15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0" i="11" l="1"/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22" i="39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0" i="2"/>
  <c r="F11" i="11" l="1"/>
  <c r="C10" i="37" s="1"/>
  <c r="C12" i="37" s="1"/>
  <c r="C13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<sst xmlns="http://schemas.openxmlformats.org/spreadsheetml/2006/main" count="594" uniqueCount="246">
  <si>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</si>
  <si>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</si>
  <si>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</si>
  <si>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</si>
  <si>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</si>
  <si>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</si>
  <si>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</si>
  <si>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</si>
  <si>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</si>
  <si>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</si>
  <si>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</si>
  <si>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</si>
  <si>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</si>
  <si>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</si>
  <si>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</si>
  <si>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</si>
  <si>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</si>
  <si>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</si>
  <si>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</si>
  <si>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</si>
  <si>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</si>
  <si>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</si>
  <si>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</si>
  <si>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</si>
  <si>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</si>
  <si>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</si>
  <si>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</si>
  <si>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</si>
  <si>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</si>
  <si>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</si>
  <si>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</si>
  <si>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</si>
  <si>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</si>
  <si>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</si>
  <si>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</si>
  <si>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</si>
  <si>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</si>
  <si>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</si>
  <si>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</si>
  <si>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</si>
  <si>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</si>
  <si>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</si>
  <si>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</si>
  <si>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</si>
  <si>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</si>
  <si>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</si>
  <si>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</si>
  <si>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</si>
  <si>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</si>
  <si>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</si>
  <si>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</si>
  <si>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</si>
  <si>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</si>
  <si>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</si>
  <si>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</si>
  <si>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</si>
  <si>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</si>
  <si>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</si>
  <si>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</si>
  <si>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</si>
  <si>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</si>
  <si>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</si>
  <si>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</si>
  <si>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</si>
  <si>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</si>
  <si>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</si>
  <si>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</si>
  <si>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</si>
  <si>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</si>
  <si>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</si>
  <si>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</si>
  <si>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</si>
  <si>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</si>
  <si>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</si>
  <si>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</si>
  <si>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</si>
  <si>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</si>
  <si>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</si>
  <si>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</si>
  <si>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</si>
  <si>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</si>
  <si>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</si>
  <si>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</si>
  <si>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</si>
  <si>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</si>
  <si>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</si>
  <si>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</si>
  <si>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</si>
  <si>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</si>
  <si>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</si>
  <si>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</si>
  <si>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</si>
  <si>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</si>
  <si>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</si>
  <si>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</si>
  <si>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</si>
  <si>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</si>
  <si>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</si>
  <si>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</si>
  <si>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</si>
  <si>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</si>
  <si>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</si>
  <si>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</si>
  <si>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</si>
  <si>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</si>
  <si>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</si>
  <si>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</si>
  <si>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</si>
  <si>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</si>
  <si>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</si>
  <si>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</si>
  <si>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</si>
  <si>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</si>
  <si>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</si>
  <si>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</si>
  <si>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</si>
  <si>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</si>
  <si>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</si>
  <si>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</si>
  <si>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</si>
  <si>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</si>
  <si>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</si>
  <si>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</si>
  <si>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</si>
  <si>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</si>
  <si>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</si>
  <si>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</si>
  <si>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</si>
  <si>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</si>
  <si>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</si>
  <si>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</si>
  <si>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</si>
  <si>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</si>
  <si>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</si>
  <si>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</si>
  <si>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</si>
  <si>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</si>
  <si>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</si>
  <si>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</si>
  <si>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</si>
  <si>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</si>
  <si>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</si>
  <si>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</si>
  <si>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</si>
  <si>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</si>
  <si>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</si>
  <si>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</si>
  <si>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</si>
  <si>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</si>
  <si>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</si>
  <si>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</si>
  <si>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</si>
  <si>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</si>
  <si>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</si>
  <si>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</si>
  <si>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</si>
  <si>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</si>
  <si>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</si>
  <si>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</si>
  <si>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</si>
  <si>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</si>
  <si>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</si>
  <si>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</si>
  <si>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</si>
  <si>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</si>
  <si>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</si>
  <si>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</si>
  <si>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</si>
  <si>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</si>
  <si>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</si>
  <si>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</si>
  <si>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</si>
  <si>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</si>
  <si>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</si>
  <si>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</si>
  <si>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</si>
  <si>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</si>
  <si>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</si>
  <si>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</si>
  <si>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</si>
  <si>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</si>
  <si>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</si>
  <si>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</si>
  <si>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</si>
  <si>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</si>
  <si>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</si>
  <si>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</si>
  <si>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</si>
  <si>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</si>
  <si>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</si>
  <si>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</si>
  <si>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</si>
  <si>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</si>
  <si>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</si>
  <si>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</si>
  <si>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</si>
  <si>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</si>
  <si>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</si>
  <si>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</si>
  <si>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</si>
  <si>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</si>
  <si>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</si>
  <si>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</si>
  <si>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</si>
  <si>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</si>
  <si>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</si>
  <si>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</si>
  <si>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</si>
  <si>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</si>
  <si>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</si>
  <si>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</si>
  <si>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</si>
  <si>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</si>
  <si>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</si>
  <si>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</si>
  <si>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</si>
  <si>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</si>
  <si>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</si>
  <si>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</si>
  <si>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</si>
  <si>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</si>
  <si>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</si>
  <si>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</si>
  <si>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</si>
  <si>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</si>
  <si>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</si>
  <si>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</si>
  <si>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</si>
  <si>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</si>
  <si>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</si>
  <si>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</si>
  <si>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</si>
  <si>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</si>
  <si>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</si>
  <si>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Afregningsmålere mekaniske</t>
  </si>
  <si>
    <t>Anlægsprojekter igangsat senest 1. marts 2016</t>
  </si>
  <si>
    <t>Afgift for ledningsført vand</t>
  </si>
  <si>
    <t>Afgift til Forsyningssekretariatet</t>
  </si>
  <si>
    <t>Ejendomsskat</t>
  </si>
  <si>
    <t>Erstatninger</t>
  </si>
  <si>
    <t>Registrering af historiske ledninger</t>
  </si>
  <si>
    <t>Grundvandsbeskyttelse</t>
  </si>
  <si>
    <t>Ingen engangstillæg</t>
  </si>
  <si>
    <t>Til indregning i den økonomiske rammer for 2020</t>
  </si>
  <si>
    <t>Tillæg/fradrag i den økonomiske ramme for 2020 i alt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</si>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</sst>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1" t="s">
        <v>192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56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22</v>
      </c>
      <c r="D14" s="66" t="s">
        <v>177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55</v>
      </c>
      <c r="D15" s="66" t="s">
        <v>133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57</v>
      </c>
      <c r="D16" s="66" t="s">
        <v>134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224</v>
      </c>
      <c r="D17" s="66" t="s">
        <v>66</v>
      </c>
      <c r="E17" s="67"/>
      <c r="F17" s="67"/>
      <c r="G17" s="68"/>
      <c r="H17" s="1"/>
      <c r="I17" s="1"/>
    </row>
    <row r="18" spans="1:9" x14ac:dyDescent="0.25">
      <c r="A18" s="1"/>
      <c r="B18" s="1"/>
      <c r="C18" s="34" t="s">
        <v>196</v>
      </c>
      <c r="D18" s="72" t="s">
        <v>162</v>
      </c>
      <c r="E18" s="73"/>
      <c r="F18" s="73"/>
      <c r="G18" s="74"/>
      <c r="H18" s="1"/>
      <c r="I18" s="1"/>
    </row>
    <row r="19" spans="1:9" x14ac:dyDescent="0.25">
      <c r="A19" s="1"/>
      <c r="B19" s="1"/>
      <c r="C19" s="34" t="s">
        <v>197</v>
      </c>
      <c r="D19" s="72" t="s">
        <v>163</v>
      </c>
      <c r="E19" s="73"/>
      <c r="F19" s="73"/>
      <c r="G19" s="74"/>
      <c r="H19" s="1"/>
      <c r="I19" s="1"/>
    </row>
    <row r="20" spans="1:9" x14ac:dyDescent="0.25">
      <c r="A20" s="1"/>
      <c r="B20" s="1"/>
      <c r="C20" s="34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198</v>
      </c>
      <c r="D21" s="63" t="s">
        <v>17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140</v>
      </c>
      <c r="D22" s="57" t="s">
        <v>161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225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58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199</v>
      </c>
      <c r="D25" s="57" t="s">
        <v>141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200</v>
      </c>
      <c r="D26" s="57" t="s">
        <v>142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201</v>
      </c>
      <c r="D27" s="57" t="s">
        <v>59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183</v>
      </c>
      <c r="D28" s="57" t="s">
        <v>60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61</v>
      </c>
      <c r="D29" s="54" t="s">
        <v>11</v>
      </c>
      <c r="E29" s="55"/>
      <c r="F29" s="55"/>
      <c r="G29" s="56"/>
      <c r="H29" s="1"/>
      <c r="I29" s="1"/>
    </row>
    <row r="30" spans="1:9" x14ac:dyDescent="0.25">
      <c r="A30" s="1"/>
      <c r="B30" s="1"/>
      <c r="C30" s="6" t="s">
        <v>62</v>
      </c>
      <c r="D30" s="60" t="s">
        <v>184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zz+BmTygRRrCyjTN2+A+Epk9W9ZKvnOynmf/a0Yw5ticBwx83rvnSPTu7G22wNavvzur+wMWPtcRq8Y1o9b9qA==" saltValue="FetI34TOUl3yX4E+S8DLmQ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204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69</v>
      </c>
      <c r="C8" s="99"/>
      <c r="D8" s="100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236</v>
      </c>
      <c r="C10" s="9">
        <v>23220920</v>
      </c>
      <c r="D10" s="14" t="s">
        <v>3</v>
      </c>
      <c r="E10" s="1"/>
      <c r="F10" s="1"/>
    </row>
    <row r="11" spans="1:6" x14ac:dyDescent="0.25">
      <c r="A11" s="1"/>
      <c r="B11" s="48" t="s">
        <v>237</v>
      </c>
      <c r="C11" s="9">
        <v>69345</v>
      </c>
      <c r="D11" s="14" t="s">
        <v>3</v>
      </c>
      <c r="E11" s="1"/>
      <c r="F11" s="1"/>
    </row>
    <row r="12" spans="1:6" x14ac:dyDescent="0.25">
      <c r="A12" s="1"/>
      <c r="B12" s="48" t="s">
        <v>238</v>
      </c>
      <c r="C12" s="9">
        <v>50960</v>
      </c>
      <c r="D12" s="14" t="s">
        <v>3</v>
      </c>
      <c r="E12" s="1"/>
      <c r="F12" s="1"/>
    </row>
    <row r="13" spans="1:6" x14ac:dyDescent="0.25">
      <c r="A13" s="1"/>
      <c r="B13" s="48" t="s">
        <v>239</v>
      </c>
      <c r="C13" s="9">
        <v>40507.1</v>
      </c>
      <c r="D13" s="14" t="s">
        <v>3</v>
      </c>
      <c r="E13" s="1"/>
      <c r="F13" s="1"/>
    </row>
    <row r="14" spans="1:6" x14ac:dyDescent="0.25">
      <c r="A14" s="1"/>
      <c r="B14" s="46" t="s">
        <v>71</v>
      </c>
      <c r="C14" s="12">
        <f>SUM(C10:C13)</f>
        <v>23381732.100000001</v>
      </c>
      <c r="D14" s="13" t="s">
        <v>3</v>
      </c>
      <c r="E14" s="1"/>
      <c r="F14" s="1"/>
    </row>
    <row r="15" spans="1:6" x14ac:dyDescent="0.25">
      <c r="A15" s="1"/>
      <c r="B15" s="46" t="s">
        <v>72</v>
      </c>
      <c r="C15" s="12">
        <f>C14*(1+'Fane 14. Nøgletal'!C12)^2</f>
        <v>24312046.561150692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lEHq7tySJWoiq3+VGupZEdqOBJ/WATfOG8EmMBEbIFbzWlwQ7abV/gaS4w7mYMGZSnKXQ5ZrnO/zb4SDrQQPoQ==" saltValue="PKGywI+6F+KH2gs1JD+P5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205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8" t="s">
        <v>52</v>
      </c>
      <c r="C6" s="99"/>
      <c r="D6" s="99"/>
      <c r="E6" s="99"/>
      <c r="F6" s="100"/>
      <c r="G6" s="1"/>
    </row>
    <row r="7" spans="1:7" ht="15" customHeight="1" x14ac:dyDescent="0.25">
      <c r="A7" s="1"/>
      <c r="B7" s="101" t="s">
        <v>50</v>
      </c>
      <c r="C7" s="102"/>
      <c r="D7" s="103"/>
      <c r="E7" s="9">
        <v>5542799.0140333334</v>
      </c>
      <c r="F7" s="14" t="s">
        <v>3</v>
      </c>
      <c r="G7" s="1"/>
    </row>
    <row r="8" spans="1:7" ht="15" customHeight="1" x14ac:dyDescent="0.25">
      <c r="A8" s="1"/>
      <c r="B8" s="101" t="s">
        <v>51</v>
      </c>
      <c r="C8" s="102"/>
      <c r="D8" s="103"/>
      <c r="E8" s="9">
        <v>-10598883.864108503</v>
      </c>
      <c r="F8" s="14" t="s">
        <v>3</v>
      </c>
      <c r="G8" s="1"/>
    </row>
    <row r="9" spans="1:7" ht="15" customHeight="1" x14ac:dyDescent="0.25">
      <c r="A9" s="1"/>
      <c r="B9" s="109" t="s">
        <v>186</v>
      </c>
      <c r="C9" s="110"/>
      <c r="D9" s="111"/>
      <c r="E9" s="10">
        <f>SUM(E7:E8)</f>
        <v>-5056084.8500751695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9" t="s">
        <v>188</v>
      </c>
      <c r="C11" s="90"/>
      <c r="D11" s="90"/>
      <c r="E11" s="90"/>
      <c r="F11" s="9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165</v>
      </c>
      <c r="C14" s="99"/>
      <c r="D14" s="99"/>
      <c r="E14" s="99"/>
      <c r="F14" s="100"/>
      <c r="G14" s="1"/>
    </row>
    <row r="15" spans="1:7" x14ac:dyDescent="0.25">
      <c r="A15" s="1"/>
      <c r="B15" s="101" t="s">
        <v>166</v>
      </c>
      <c r="C15" s="102"/>
      <c r="D15" s="103"/>
      <c r="E15" s="9">
        <v>64009967.311230645</v>
      </c>
      <c r="F15" s="14" t="s">
        <v>3</v>
      </c>
      <c r="G15" s="1"/>
    </row>
    <row r="16" spans="1:7" x14ac:dyDescent="0.25">
      <c r="A16" s="1"/>
      <c r="B16" s="101" t="s">
        <v>167</v>
      </c>
      <c r="C16" s="102"/>
      <c r="D16" s="103"/>
      <c r="E16" s="9">
        <v>74745104</v>
      </c>
      <c r="F16" s="14" t="s">
        <v>3</v>
      </c>
      <c r="G16" s="1"/>
    </row>
    <row r="17" spans="1:7" x14ac:dyDescent="0.25">
      <c r="A17" s="1"/>
      <c r="B17" s="101" t="s">
        <v>49</v>
      </c>
      <c r="C17" s="102"/>
      <c r="D17" s="103"/>
      <c r="E17" s="9">
        <v>0</v>
      </c>
      <c r="F17" s="14" t="s">
        <v>3</v>
      </c>
      <c r="G17" s="1"/>
    </row>
    <row r="18" spans="1:7" x14ac:dyDescent="0.25">
      <c r="A18" s="1"/>
      <c r="B18" s="109" t="s">
        <v>187</v>
      </c>
      <c r="C18" s="110"/>
      <c r="D18" s="111"/>
      <c r="E18" s="10">
        <f>E15-(E16-E17)</f>
        <v>-10735136.688769355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9" t="s">
        <v>189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8" t="s">
        <v>77</v>
      </c>
      <c r="C23" s="99"/>
      <c r="D23" s="99"/>
      <c r="E23" s="99"/>
      <c r="F23" s="100"/>
      <c r="G23" s="1"/>
    </row>
    <row r="24" spans="1:7" x14ac:dyDescent="0.25">
      <c r="A24" s="1"/>
      <c r="B24" s="101" t="s">
        <v>78</v>
      </c>
      <c r="C24" s="102"/>
      <c r="D24" s="103"/>
      <c r="E24" s="9">
        <v>68873111.309598237</v>
      </c>
      <c r="F24" s="14" t="s">
        <v>3</v>
      </c>
      <c r="G24" s="1"/>
    </row>
    <row r="25" spans="1:7" x14ac:dyDescent="0.25">
      <c r="A25" s="1"/>
      <c r="B25" s="101" t="s">
        <v>79</v>
      </c>
      <c r="C25" s="102"/>
      <c r="D25" s="103"/>
      <c r="E25" s="9">
        <v>65370074</v>
      </c>
      <c r="F25" s="14" t="s">
        <v>3</v>
      </c>
      <c r="G25" s="1"/>
    </row>
    <row r="26" spans="1:7" x14ac:dyDescent="0.25">
      <c r="A26" s="1"/>
      <c r="B26" s="101" t="s">
        <v>49</v>
      </c>
      <c r="C26" s="102"/>
      <c r="D26" s="103"/>
      <c r="E26" s="9">
        <v>0</v>
      </c>
      <c r="F26" s="14" t="s">
        <v>3</v>
      </c>
      <c r="G26" s="1"/>
    </row>
    <row r="27" spans="1:7" x14ac:dyDescent="0.25">
      <c r="A27" s="1"/>
      <c r="B27" s="109" t="s">
        <v>187</v>
      </c>
      <c r="C27" s="110"/>
      <c r="D27" s="111"/>
      <c r="E27" s="10">
        <f>E24-(E25-E26)</f>
        <v>3503037.3095982373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8" t="s">
        <v>243</v>
      </c>
      <c r="C31" s="99"/>
      <c r="D31" s="99"/>
      <c r="E31" s="99"/>
      <c r="F31" s="100"/>
      <c r="G31" s="1"/>
    </row>
    <row r="32" spans="1:7" x14ac:dyDescent="0.25">
      <c r="A32" s="1"/>
      <c r="B32" s="109" t="s">
        <v>244</v>
      </c>
      <c r="C32" s="110"/>
      <c r="D32" s="11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-4392573.4598240256</v>
      </c>
      <c r="F32" s="17" t="s">
        <v>3</v>
      </c>
      <c r="G32" s="1"/>
    </row>
    <row r="33" spans="1:7" x14ac:dyDescent="0.25">
      <c r="A33" s="1"/>
      <c r="B33" s="98"/>
      <c r="C33" s="99"/>
      <c r="D33" s="99"/>
      <c r="E33" s="99"/>
      <c r="F33" s="100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8" t="s">
        <v>180</v>
      </c>
      <c r="C36" s="99"/>
      <c r="D36" s="99"/>
      <c r="E36" s="99"/>
      <c r="F36" s="100"/>
      <c r="G36" s="1"/>
    </row>
    <row r="37" spans="1:7" x14ac:dyDescent="0.25">
      <c r="A37" s="1"/>
      <c r="B37" s="112" t="s">
        <v>53</v>
      </c>
      <c r="C37" s="113"/>
      <c r="D37" s="114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12" t="s">
        <v>185</v>
      </c>
      <c r="C38" s="113"/>
      <c r="D38" s="114"/>
      <c r="E38" s="9">
        <v>2</v>
      </c>
      <c r="F38" s="14" t="s">
        <v>27</v>
      </c>
      <c r="G38" s="1"/>
    </row>
    <row r="39" spans="1:7" ht="15" customHeight="1" x14ac:dyDescent="0.25">
      <c r="A39" s="1"/>
      <c r="B39" s="109" t="s">
        <v>227</v>
      </c>
      <c r="C39" s="110"/>
      <c r="D39" s="111"/>
      <c r="E39" s="10">
        <f>E37/E38</f>
        <v>0</v>
      </c>
      <c r="F39" s="17" t="s">
        <v>3</v>
      </c>
      <c r="G39" s="1"/>
    </row>
    <row r="40" spans="1:7" x14ac:dyDescent="0.25">
      <c r="A40" s="1"/>
      <c r="B40" s="98"/>
      <c r="C40" s="99"/>
      <c r="D40" s="99"/>
      <c r="E40" s="99"/>
      <c r="F40" s="100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VcIOvib4RVFqKSd7M9L4edMamMO4GNIO0Op9R/WtiL/kbxwCSMZkdcjYEGMroh7Jw45nn5YeIpyKmZn+yoLjg==" saltValue="xvlbUWzKQHJchjWsAjLvIA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228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159</v>
      </c>
      <c r="C8" s="99"/>
      <c r="D8" s="99"/>
      <c r="E8" s="99"/>
      <c r="F8" s="99"/>
      <c r="G8" s="1"/>
    </row>
    <row r="9" spans="1:7" ht="29.25" customHeight="1" x14ac:dyDescent="0.25">
      <c r="A9" s="1"/>
      <c r="B9" s="95" t="s">
        <v>164</v>
      </c>
      <c r="C9" s="96"/>
      <c r="D9" s="97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311589.71689217817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311589.71689217817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/Jwy/KUebdQCnoPtsnz//cy5zk9iZ/hTjSUkxe/rFJLWE8jNXX9jVTOH4gR2ezjfNpZ3uJIlV1JIAKTaXDdQGw==" saltValue="WqpCJsbQZa7c8i0ItTt3n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229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230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26.25" x14ac:dyDescent="0.25">
      <c r="A10" s="1"/>
      <c r="B10" s="51" t="s">
        <v>234</v>
      </c>
      <c r="C10" s="52">
        <v>10</v>
      </c>
      <c r="D10" s="9">
        <v>3971789</v>
      </c>
      <c r="E10" s="9">
        <f>IFERROR(D10/C10,0)</f>
        <v>397178.9</v>
      </c>
      <c r="F10" s="9">
        <v>0</v>
      </c>
      <c r="G10" s="9">
        <v>79436</v>
      </c>
      <c r="H10" s="14" t="s">
        <v>3</v>
      </c>
      <c r="I10" s="1"/>
    </row>
    <row r="11" spans="1:9" x14ac:dyDescent="0.25">
      <c r="A11" s="1"/>
      <c r="B11" s="98" t="s">
        <v>231</v>
      </c>
      <c r="C11" s="99"/>
      <c r="D11" s="100"/>
      <c r="E11" s="12">
        <f>SUM(E10:E10)</f>
        <v>397178.9</v>
      </c>
      <c r="F11" s="12">
        <f>SUM(F10:F10)</f>
        <v>0</v>
      </c>
      <c r="G11" s="12">
        <f>SUM(G10:G10)</f>
        <v>79436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ORaQfKHLaPWO2X7KVf1x4K2dVPDrdLYwyzvA4U0Bzp2/8ADIZsJBnDIrKezuxK80zP1owgYhvGc3ZV0cSGvcw==" saltValue="G39UHbZKdjssQnZh4E+b7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476614.9</v>
      </c>
      <c r="F10" s="14" t="s">
        <v>3</v>
      </c>
      <c r="G10" s="1"/>
    </row>
    <row r="11" spans="1:7" x14ac:dyDescent="0.25">
      <c r="A11" s="1"/>
      <c r="B11" s="53" t="s">
        <v>240</v>
      </c>
      <c r="C11" s="24">
        <v>109373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6" t="s">
        <v>63</v>
      </c>
      <c r="C12" s="12">
        <f>SUM(C10:C11)</f>
        <v>109373</v>
      </c>
      <c r="D12" s="13" t="s">
        <v>3</v>
      </c>
      <c r="E12" s="12">
        <f>SUM(E10:E11)</f>
        <v>476614.9</v>
      </c>
      <c r="F12" s="13" t="s">
        <v>3</v>
      </c>
      <c r="G12" s="1"/>
    </row>
    <row r="13" spans="1:7" x14ac:dyDescent="0.25">
      <c r="A13" s="1"/>
      <c r="B13" s="46" t="s">
        <v>74</v>
      </c>
      <c r="C13" s="12">
        <f>C12*(1+'Fane 14. Nøgletal'!C12)</f>
        <v>111527.64810000001</v>
      </c>
      <c r="D13" s="13" t="s">
        <v>3</v>
      </c>
      <c r="E13" s="12">
        <f>E12*(1+'Fane 14. Nøgletal'!C12)</f>
        <v>486004.21353000007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YVKvsL7FiFHtC/6H2UNfMuLAAVXK7AbXexiq3Lz/c1xP453rTZo+1vjHgbs34G25YedvzoPR/eyv3GeZZpmdiA==" saltValue="C+vpLyRmXMV7hVirGk3X7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168</v>
      </c>
      <c r="C8" s="99"/>
      <c r="D8" s="99"/>
      <c r="E8" s="99"/>
      <c r="F8" s="100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241</v>
      </c>
      <c r="C10" s="24">
        <v>399075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399075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-6386.6608391072014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-7981.5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400013.58950104198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169</v>
      </c>
      <c r="C16" s="99"/>
      <c r="D16" s="99"/>
      <c r="E16" s="99"/>
      <c r="F16" s="100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242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170</v>
      </c>
      <c r="C24" s="99"/>
      <c r="D24" s="99"/>
      <c r="E24" s="99"/>
      <c r="F24" s="100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242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171</v>
      </c>
      <c r="C32" s="99"/>
      <c r="D32" s="99"/>
      <c r="E32" s="99"/>
      <c r="F32" s="100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242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SXIq3sUFpPPkod65gPuNwUCB8IsV8c16LR5T2XcRBBMr0SYI1N6kZk5ZiPKm3LKQINJyIlpToWi0Gwb2WDAjw==" saltValue="KWb5+tkFgp0BFiVOlCZuN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208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31</v>
      </c>
      <c r="C8" s="99"/>
      <c r="D8" s="99"/>
      <c r="E8" s="99"/>
      <c r="F8" s="100"/>
      <c r="G8" s="1"/>
    </row>
    <row r="9" spans="1:7" ht="15" customHeight="1" x14ac:dyDescent="0.25">
      <c r="A9" s="1"/>
      <c r="B9" s="40" t="s">
        <v>32</v>
      </c>
      <c r="C9" s="95" t="s">
        <v>16</v>
      </c>
      <c r="D9" s="97"/>
      <c r="E9" s="95" t="s">
        <v>47</v>
      </c>
      <c r="F9" s="97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yxudVz8xNpvbXwXQXxWrrN8pg8ica0s6K8sXi66Ntmu+aKOmf0tptelNbyY/QBtjNgTiZCXDxxYqDrq6+QGMw==" saltValue="9r0Snt1KlVJpXBgUzC+c7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209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8" t="s">
        <v>157</v>
      </c>
      <c r="C15" s="99"/>
      <c r="D15" s="99"/>
      <c r="E15" s="99"/>
      <c r="F15" s="100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8" t="s">
        <v>155</v>
      </c>
      <c r="C22" s="99"/>
      <c r="D22" s="99"/>
      <c r="E22" s="99"/>
      <c r="F22" s="100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158</v>
      </c>
      <c r="C29" s="99"/>
      <c r="D29" s="99"/>
      <c r="E29" s="99"/>
      <c r="F29" s="100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5RtmotDCp8PjpmVjsDOOz3xgUxKOscxApZohqvDzZk+oIXeyGRtYRYS2cPPi8E20du2xoYbXiT4m7dMrr7hOwQ==" saltValue="rQ0esc+Ih0IiRy1GZyjxT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18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12</v>
      </c>
      <c r="C9" s="102"/>
      <c r="D9" s="102"/>
      <c r="E9" s="102"/>
      <c r="F9" s="103"/>
      <c r="G9" s="9">
        <v>3374547</v>
      </c>
      <c r="H9" s="14" t="s">
        <v>3</v>
      </c>
      <c r="I9" s="1"/>
    </row>
    <row r="10" spans="1:9" x14ac:dyDescent="0.25">
      <c r="A10" s="1"/>
      <c r="B10" s="101" t="s">
        <v>135</v>
      </c>
      <c r="C10" s="102"/>
      <c r="D10" s="102"/>
      <c r="E10" s="102"/>
      <c r="F10" s="103"/>
      <c r="G10" s="9">
        <v>0</v>
      </c>
      <c r="H10" s="14" t="s">
        <v>3</v>
      </c>
      <c r="I10" s="1"/>
    </row>
    <row r="11" spans="1:9" x14ac:dyDescent="0.25">
      <c r="A11" s="1"/>
      <c r="B11" s="101" t="s">
        <v>80</v>
      </c>
      <c r="C11" s="102"/>
      <c r="D11" s="102"/>
      <c r="E11" s="102"/>
      <c r="F11" s="103"/>
      <c r="G11" s="9">
        <v>-3374547.3333333335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-0.33333333348855376</v>
      </c>
      <c r="H12" s="18" t="s">
        <v>3</v>
      </c>
      <c r="I12" s="1"/>
    </row>
    <row r="13" spans="1:9" x14ac:dyDescent="0.25">
      <c r="A13" s="1"/>
      <c r="B13" s="101" t="s">
        <v>13</v>
      </c>
      <c r="C13" s="102"/>
      <c r="D13" s="102"/>
      <c r="E13" s="102"/>
      <c r="F13" s="103"/>
      <c r="G13" s="9">
        <v>0</v>
      </c>
      <c r="H13" s="14" t="s">
        <v>27</v>
      </c>
      <c r="I13" s="1"/>
    </row>
    <row r="14" spans="1:9" x14ac:dyDescent="0.25">
      <c r="A14" s="1"/>
      <c r="B14" s="98" t="s">
        <v>136</v>
      </c>
      <c r="C14" s="99"/>
      <c r="D14" s="99"/>
      <c r="E14" s="99"/>
      <c r="F14" s="100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Fb1Iab9cmWnkEhX0VP+2A4eOEJvnH/N2N8PJnD+a6/jZIiUT1GJyFmUSTMR03XMDD3trNBpyBvIM9SpEfPsqA==" saltValue="nbG9wxxISSlhtd7tpvsNj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5" t="s">
        <v>54</v>
      </c>
      <c r="C3" s="85"/>
      <c r="D3" s="1"/>
    </row>
    <row r="4" spans="1:4" ht="25.5" customHeight="1" x14ac:dyDescent="0.25">
      <c r="A4" s="1"/>
      <c r="B4" s="85"/>
      <c r="C4" s="8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8"/>
      <c r="C13" s="100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CqsmHJ7edqZkPQjMgA5mW7zRwoo/gKX6wDD5xX614I9iuoOexQbcM9fQBZKU8ITacn+CLWCeQDortI+tUtihaw==" saltValue="3/E0uT6x1EqNCD0ZcsLhW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65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46333779.960744061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111527.64810000001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486004.21353000007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794812.25901068561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-763792.68977748824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-323320.28861895209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-302353.2693891364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46336657.833599173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omk.'!C15</f>
        <v>24312046.561150692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400013.58950104198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400013.58950104198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-4392573.4598240256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311589.71689217817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66967734.241319053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ChshtoBmN98BmY/POnVjmxDqNUpUQwnvWYZgjElgYm+nZ1urfArCqRFn2wx/CAVbhSwfWGVVqguI1YLvVnDRQ==" saltValue="tw+pzuLsJbUjCWJ6fOOLG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46336657.833599173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912832.1593219036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-756164.79961304669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-323095.90433865058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-965182.51864556689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45205046.770323813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omk.'!C15*(1+'Fane 14. Nøgletal'!C12)</f>
        <v>24790993.878405362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69996040.648729175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3MtNhfrGB4nwkVqKSa1D9+qOUTJ6SoWTqp+Hf3ks6ma15YUQBHt7gZ41dHj4UiJyVPHnBVIdJ0coaTnCGTJKbw==" saltValue="WSTr9Co1Oujz4WpLKys52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193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2.2. Økonomisk ramme 2021'!C16</f>
        <v>45205046.770323813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890539.42137537908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-737698.11485614453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-322871.67578103958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-956245.43041781872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44078770.970644183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Nøgletal'!C12)^2</f>
        <v>25279376.457809947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69358147.428454131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ARHjRmnCkZOqB8M4DJP/1Fawu16ap2Oo0RInrErGSCArswbbq8fEDUOMHgVeHUnXDsjnpgyOVqBYpyN83GITQ==" saltValue="q71E/yV5vB8jaZNwajZg2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245</v>
      </c>
      <c r="C8" s="7">
        <f>'Fane 2.3. Økonomisk ramme 2022'!C15</f>
        <v>44078770.970644183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868351.78812169039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-719318.4959066693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-322647.60283804755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-947391.09497977362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42957765.565041393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Nøgletal'!C12)^3</f>
        <v>25777380.174028803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68735145.739070192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po2E1wvKqo0iBt/AN3B5HG0zj8Ra+dsWoDGclku5xDzLZM+INj02+euYu1TEccu4cLDCbaAgMAzMYrVPadpBgw==" saltValue="haGoSbEQpsWx/2+DNZaU4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221</v>
      </c>
      <c r="C3" s="85"/>
      <c r="D3" s="85"/>
      <c r="E3" s="85"/>
      <c r="F3" s="85"/>
      <c r="G3" s="1"/>
    </row>
    <row r="4" spans="1:7" ht="29.2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6" t="s">
        <v>81</v>
      </c>
      <c r="C9" s="87"/>
      <c r="D9" s="88"/>
      <c r="E9" s="7">
        <v>44064768.038534611</v>
      </c>
      <c r="F9" s="8" t="s">
        <v>3</v>
      </c>
      <c r="G9" s="1"/>
    </row>
    <row r="10" spans="1:7" x14ac:dyDescent="0.25">
      <c r="A10" s="1"/>
      <c r="B10" s="86" t="s">
        <v>82</v>
      </c>
      <c r="C10" s="87"/>
      <c r="D10" s="88"/>
      <c r="E10" s="7">
        <v>483930.49092960107</v>
      </c>
      <c r="F10" s="8" t="s">
        <v>3</v>
      </c>
      <c r="G10" s="1"/>
    </row>
    <row r="11" spans="1:7" x14ac:dyDescent="0.25">
      <c r="A11" s="1"/>
      <c r="B11" s="86" t="s">
        <v>83</v>
      </c>
      <c r="C11" s="87"/>
      <c r="D11" s="88"/>
      <c r="E11" s="7">
        <v>-59746.91257275005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1492501.0792999999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931094.99489999993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792822.05597944581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-763460.54445592233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-322153.35700498382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-285975.88486594975</v>
      </c>
      <c r="F21" s="8" t="s">
        <v>3</v>
      </c>
      <c r="G21" s="1"/>
    </row>
    <row r="22" spans="1:7" x14ac:dyDescent="0.25">
      <c r="A22" s="1"/>
      <c r="B22" s="92" t="s">
        <v>28</v>
      </c>
      <c r="C22" s="93"/>
      <c r="D22" s="94"/>
      <c r="E22" s="10">
        <f>SUM(E9:E21)</f>
        <v>46333779.960744061</v>
      </c>
      <c r="F22" s="11" t="s">
        <v>3</v>
      </c>
      <c r="G22" s="1"/>
    </row>
    <row r="23" spans="1:7" x14ac:dyDescent="0.25">
      <c r="A23" s="1"/>
      <c r="B23" s="80" t="s">
        <v>17</v>
      </c>
      <c r="C23" s="81"/>
      <c r="D23" s="81"/>
      <c r="E23" s="47"/>
      <c r="F23" s="22"/>
      <c r="G23" s="1"/>
    </row>
    <row r="24" spans="1:7" x14ac:dyDescent="0.25">
      <c r="A24" s="1"/>
      <c r="B24" s="82" t="s">
        <v>17</v>
      </c>
      <c r="C24" s="83"/>
      <c r="D24" s="84"/>
      <c r="E24" s="10">
        <v>22272022.118762895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5" t="s">
        <v>132</v>
      </c>
      <c r="C26" s="96"/>
      <c r="D26" s="97"/>
      <c r="E26" s="10">
        <v>99681.609667488534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82" t="s">
        <v>19</v>
      </c>
      <c r="C28" s="83"/>
      <c r="D28" s="84"/>
      <c r="E28" s="10">
        <v>0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82" t="s">
        <v>131</v>
      </c>
      <c r="C30" s="83"/>
      <c r="D30" s="84"/>
      <c r="E30" s="10">
        <v>-8210486.3548711697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60494997.334303275</v>
      </c>
      <c r="F31" s="13" t="s">
        <v>3</v>
      </c>
      <c r="G31" s="1"/>
    </row>
    <row r="32" spans="1:7" ht="28.15" customHeight="1" x14ac:dyDescent="0.25">
      <c r="A32" s="1"/>
      <c r="B32" s="89" t="s">
        <v>189</v>
      </c>
      <c r="C32" s="90"/>
      <c r="D32" s="90"/>
      <c r="E32" s="90"/>
      <c r="F32" s="9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qggq6QOrZQCEiLpnUhWM3eS1hRlqbULW4cS3Z9RCopB33dZnEEPlZePo2TZPg6RAJ4wgW+E4ZQZYTmuPPxw2BQ==" saltValue="ycflQJyGAb4WziK65I5u3Q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5" t="s">
        <v>202</v>
      </c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98" t="s">
        <v>97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86</v>
      </c>
      <c r="C6" s="102"/>
      <c r="D6" s="102"/>
      <c r="E6" s="102"/>
      <c r="F6" s="103"/>
      <c r="G6" s="26">
        <v>14254145.969515087</v>
      </c>
      <c r="H6" s="14" t="s">
        <v>3</v>
      </c>
      <c r="I6" s="1"/>
    </row>
    <row r="7" spans="1:9" x14ac:dyDescent="0.25">
      <c r="A7" s="1"/>
      <c r="B7" s="101" t="s">
        <v>87</v>
      </c>
      <c r="C7" s="102"/>
      <c r="D7" s="102"/>
      <c r="E7" s="102"/>
      <c r="F7" s="103"/>
      <c r="G7" s="26">
        <f>G6*'Fane 14. Nøgletal'!C25</f>
        <v>285082.91939030174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98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88</v>
      </c>
      <c r="C11" s="102"/>
      <c r="D11" s="102"/>
      <c r="E11" s="102"/>
      <c r="F11" s="103"/>
      <c r="G11" s="26">
        <f>(G6-G7)*(1+'Fane 14. Nøgletal'!C9)</f>
        <v>14146470.150861369</v>
      </c>
      <c r="H11" s="14" t="s">
        <v>3</v>
      </c>
      <c r="I11" s="1"/>
    </row>
    <row r="12" spans="1:9" x14ac:dyDescent="0.25">
      <c r="A12" s="1"/>
      <c r="B12" s="104" t="s">
        <v>89</v>
      </c>
      <c r="C12" s="105"/>
      <c r="D12" s="105"/>
      <c r="E12" s="105"/>
      <c r="F12" s="106"/>
      <c r="G12" s="26">
        <v>0</v>
      </c>
      <c r="H12" s="14" t="s">
        <v>3</v>
      </c>
      <c r="I12" s="1"/>
    </row>
    <row r="13" spans="1:9" x14ac:dyDescent="0.25">
      <c r="A13" s="1"/>
      <c r="B13" s="101" t="s">
        <v>90</v>
      </c>
      <c r="C13" s="102"/>
      <c r="D13" s="102"/>
      <c r="E13" s="102"/>
      <c r="F13" s="103"/>
      <c r="G13" s="26">
        <f>(G11+G12)*'Fane 14. Nøgletal'!C25</f>
        <v>282929.40301722742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99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1" t="s">
        <v>91</v>
      </c>
      <c r="C17" s="102"/>
      <c r="D17" s="102"/>
      <c r="E17" s="102"/>
      <c r="F17" s="103"/>
      <c r="G17" s="26">
        <f>(G13/'Fane 14. Nøgletal'!C25-G13)*(1+'Fane 14. Nøgletal'!C11)</f>
        <v>14097834.586482709</v>
      </c>
      <c r="H17" s="14" t="s">
        <v>3</v>
      </c>
      <c r="I17" s="1"/>
    </row>
    <row r="18" spans="1:9" x14ac:dyDescent="0.25">
      <c r="A18" s="1"/>
      <c r="B18" s="101" t="s">
        <v>222</v>
      </c>
      <c r="C18" s="102"/>
      <c r="D18" s="102"/>
      <c r="E18" s="102"/>
      <c r="F18" s="103"/>
      <c r="G18" s="26">
        <v>492108.9162263113</v>
      </c>
      <c r="H18" s="14" t="s">
        <v>3</v>
      </c>
      <c r="I18" s="1"/>
    </row>
    <row r="19" spans="1:9" x14ac:dyDescent="0.25">
      <c r="A19" s="1"/>
      <c r="B19" s="104" t="s">
        <v>92</v>
      </c>
      <c r="C19" s="105"/>
      <c r="D19" s="105"/>
      <c r="E19" s="105"/>
      <c r="F19" s="106"/>
      <c r="G19" s="26">
        <v>1517724.3475401697</v>
      </c>
      <c r="H19" s="14" t="s">
        <v>3</v>
      </c>
      <c r="I19" s="1"/>
    </row>
    <row r="20" spans="1:9" x14ac:dyDescent="0.25">
      <c r="A20" s="1"/>
      <c r="B20" s="101" t="s">
        <v>93</v>
      </c>
      <c r="C20" s="102"/>
      <c r="D20" s="102"/>
      <c r="E20" s="102"/>
      <c r="F20" s="103"/>
      <c r="G20" s="26">
        <f>SUM(G17:G19)*'Fane 14. Nøgletal'!C25</f>
        <v>322153.35700498382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100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94</v>
      </c>
      <c r="C24" s="102"/>
      <c r="D24" s="102"/>
      <c r="E24" s="102"/>
      <c r="F24" s="103"/>
      <c r="G24" s="26">
        <f>(SUM(G17:G19)-G20)*(1+'Fane 14. Nøgletal'!C11)</f>
        <v>16052289.688180033</v>
      </c>
      <c r="H24" s="14" t="s">
        <v>3</v>
      </c>
      <c r="I24" s="1"/>
    </row>
    <row r="25" spans="1:9" x14ac:dyDescent="0.25">
      <c r="A25" s="1"/>
      <c r="B25" s="104" t="s">
        <v>95</v>
      </c>
      <c r="C25" s="105"/>
      <c r="D25" s="105"/>
      <c r="E25" s="105"/>
      <c r="F25" s="106"/>
      <c r="G25" s="26">
        <f>('Fane 2.1. Økonomisk ramme 2020'!C10+'Fane 2.1. Økonomisk ramme 2020'!C12+'Fane 2.1. Økonomisk ramme 2020'!C14)*(1+'Fane 14. Nøgletal'!C12)</f>
        <v>113724.74276757002</v>
      </c>
      <c r="H25" s="14" t="s">
        <v>3</v>
      </c>
      <c r="I25" s="1"/>
    </row>
    <row r="26" spans="1:9" x14ac:dyDescent="0.25">
      <c r="A26" s="1"/>
      <c r="B26" s="101" t="s">
        <v>96</v>
      </c>
      <c r="C26" s="102"/>
      <c r="D26" s="102"/>
      <c r="E26" s="102"/>
      <c r="F26" s="103"/>
      <c r="G26" s="26">
        <f>(G24+G25)*'Fane 14. Nøgletal'!C25</f>
        <v>323320.28861895209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8" t="s">
        <v>191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1" t="s">
        <v>103</v>
      </c>
      <c r="C30" s="102"/>
      <c r="D30" s="102"/>
      <c r="E30" s="102"/>
      <c r="F30" s="103"/>
      <c r="G30" s="26">
        <f>(G24+G25-G26)*(1+'Fane 14. Nøgletal'!C12)</f>
        <v>16154795.216932528</v>
      </c>
      <c r="H30" s="14" t="s">
        <v>3</v>
      </c>
      <c r="I30" s="1"/>
    </row>
    <row r="31" spans="1:9" x14ac:dyDescent="0.25">
      <c r="A31" s="1"/>
      <c r="B31" s="101" t="s">
        <v>145</v>
      </c>
      <c r="C31" s="102"/>
      <c r="D31" s="102"/>
      <c r="E31" s="102"/>
      <c r="F31" s="103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1" t="s">
        <v>220</v>
      </c>
      <c r="C32" s="102"/>
      <c r="D32" s="102"/>
      <c r="E32" s="102"/>
      <c r="F32" s="103"/>
      <c r="G32" s="26">
        <f>(G30+G31)*'Fane 14. Nøgletal'!C25</f>
        <v>323095.90433865058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8" t="s">
        <v>126</v>
      </c>
      <c r="C35" s="99"/>
      <c r="D35" s="99"/>
      <c r="E35" s="99"/>
      <c r="F35" s="99"/>
      <c r="G35" s="99"/>
      <c r="H35" s="100"/>
      <c r="I35" s="1"/>
    </row>
    <row r="36" spans="1:9" x14ac:dyDescent="0.25">
      <c r="A36" s="1"/>
      <c r="B36" s="101" t="s">
        <v>125</v>
      </c>
      <c r="C36" s="102"/>
      <c r="D36" s="102"/>
      <c r="E36" s="102"/>
      <c r="F36" s="103"/>
      <c r="G36" s="26">
        <f>(G30-G32)*(1+'Fane 14. Nøgletal'!C12)</f>
        <v>16143583.789051978</v>
      </c>
      <c r="H36" s="14" t="s">
        <v>3</v>
      </c>
      <c r="I36" s="1"/>
    </row>
    <row r="37" spans="1:9" x14ac:dyDescent="0.25">
      <c r="A37" s="1"/>
      <c r="B37" s="101" t="s">
        <v>146</v>
      </c>
      <c r="C37" s="102"/>
      <c r="D37" s="102"/>
      <c r="E37" s="102"/>
      <c r="F37" s="103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1" t="s">
        <v>104</v>
      </c>
      <c r="C38" s="102"/>
      <c r="D38" s="102"/>
      <c r="E38" s="102"/>
      <c r="F38" s="103"/>
      <c r="G38" s="26">
        <f>(G36+G37)*'Fane 14. Nøgletal'!C25</f>
        <v>322871.67578103958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8" t="s">
        <v>127</v>
      </c>
      <c r="C41" s="99"/>
      <c r="D41" s="99"/>
      <c r="E41" s="99"/>
      <c r="F41" s="99"/>
      <c r="G41" s="99"/>
      <c r="H41" s="100"/>
      <c r="I41" s="1"/>
    </row>
    <row r="42" spans="1:9" x14ac:dyDescent="0.25">
      <c r="A42" s="1"/>
      <c r="B42" s="101" t="s">
        <v>124</v>
      </c>
      <c r="C42" s="102"/>
      <c r="D42" s="102"/>
      <c r="E42" s="102"/>
      <c r="F42" s="103"/>
      <c r="G42" s="26">
        <f>(G36-G38)*(1+'Fane 14. Nøgletal'!C12)</f>
        <v>16132380.141902376</v>
      </c>
      <c r="H42" s="14" t="s">
        <v>3</v>
      </c>
      <c r="I42" s="1"/>
    </row>
    <row r="43" spans="1:9" x14ac:dyDescent="0.25">
      <c r="A43" s="1"/>
      <c r="B43" s="101" t="s">
        <v>147</v>
      </c>
      <c r="C43" s="102"/>
      <c r="D43" s="102"/>
      <c r="E43" s="102"/>
      <c r="F43" s="103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1" t="s">
        <v>105</v>
      </c>
      <c r="C44" s="102"/>
      <c r="D44" s="102"/>
      <c r="E44" s="102"/>
      <c r="F44" s="103"/>
      <c r="G44" s="26">
        <f>(G42+G43)*'Fane 14. Nøgletal'!C25</f>
        <v>322647.60283804755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6nVEL8X58clmNKFvYii7/8r0PSBZLvV3Fnz7qa38aNRdwVrf5iFbkoDalryiaXVsUl/dRaWZhAPVIxnBfia9Q==" saltValue="5RNlCZImc3r7irsCa19Gmg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7" t="s">
        <v>203</v>
      </c>
      <c r="C2" s="107"/>
      <c r="D2" s="107"/>
      <c r="E2" s="107"/>
      <c r="F2" s="107"/>
      <c r="G2" s="107"/>
      <c r="H2" s="107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8" t="s">
        <v>101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106</v>
      </c>
      <c r="C5" s="102"/>
      <c r="D5" s="102"/>
      <c r="E5" s="102"/>
      <c r="F5" s="103"/>
      <c r="G5" s="26">
        <v>31631792.64663896</v>
      </c>
      <c r="H5" s="14" t="s">
        <v>3</v>
      </c>
      <c r="I5" s="1"/>
    </row>
    <row r="6" spans="1:9" x14ac:dyDescent="0.25">
      <c r="A6" s="1"/>
      <c r="B6" s="101" t="s">
        <v>102</v>
      </c>
      <c r="C6" s="102"/>
      <c r="D6" s="102"/>
      <c r="E6" s="102"/>
      <c r="F6" s="103"/>
      <c r="G6" s="26">
        <f>G5*'Fane 14. Nøgletal'!C17</f>
        <v>287849.31308441452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107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108</v>
      </c>
      <c r="C10" s="102"/>
      <c r="D10" s="102"/>
      <c r="E10" s="102"/>
      <c r="F10" s="103"/>
      <c r="G10" s="26">
        <f>(G5-G6)*(1+'Fane 14. Nøgletal'!C9)</f>
        <v>31742011.413890686</v>
      </c>
      <c r="H10" s="14" t="s">
        <v>3</v>
      </c>
      <c r="I10" s="1"/>
    </row>
    <row r="11" spans="1:9" x14ac:dyDescent="0.25">
      <c r="A11" s="1"/>
      <c r="B11" s="104" t="s">
        <v>109</v>
      </c>
      <c r="C11" s="105"/>
      <c r="D11" s="105"/>
      <c r="E11" s="105"/>
      <c r="F11" s="106"/>
      <c r="G11" s="26">
        <v>0</v>
      </c>
      <c r="H11" s="14" t="s">
        <v>3</v>
      </c>
      <c r="I11" s="1"/>
    </row>
    <row r="12" spans="1:9" x14ac:dyDescent="0.25">
      <c r="A12" s="1"/>
      <c r="B12" s="101" t="s">
        <v>110</v>
      </c>
      <c r="C12" s="102"/>
      <c r="D12" s="102"/>
      <c r="E12" s="102"/>
      <c r="F12" s="103"/>
      <c r="G12" s="26">
        <f>G10*'Fane 14. Nøgletal'!C17+G11*'Fane 14. Nøgletal'!C18</f>
        <v>288852.30386640527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8" t="s">
        <v>111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101" t="s">
        <v>112</v>
      </c>
      <c r="C16" s="102"/>
      <c r="D16" s="102"/>
      <c r="E16" s="102"/>
      <c r="F16" s="103"/>
      <c r="G16" s="26">
        <f>(G10+G11-G12)*(1+'Fane 14. Nøgletal'!C11)</f>
        <v>31984717.498983689</v>
      </c>
      <c r="H16" s="14" t="s">
        <v>3</v>
      </c>
      <c r="I16" s="1"/>
    </row>
    <row r="17" spans="1:9" x14ac:dyDescent="0.25">
      <c r="A17" s="1"/>
      <c r="B17" s="101" t="s">
        <v>223</v>
      </c>
      <c r="C17" s="102"/>
      <c r="D17" s="102"/>
      <c r="E17" s="102"/>
      <c r="F17" s="103"/>
      <c r="G17" s="26">
        <v>-60756.635395229518</v>
      </c>
      <c r="H17" s="14" t="s">
        <v>3</v>
      </c>
      <c r="I17" s="1"/>
    </row>
    <row r="18" spans="1:9" x14ac:dyDescent="0.25">
      <c r="A18" s="1"/>
      <c r="B18" s="104" t="s">
        <v>113</v>
      </c>
      <c r="C18" s="105"/>
      <c r="D18" s="105"/>
      <c r="E18" s="105"/>
      <c r="F18" s="106"/>
      <c r="G18" s="26">
        <v>946830.50031380984</v>
      </c>
      <c r="H18" s="14" t="s">
        <v>3</v>
      </c>
      <c r="I18" s="1"/>
    </row>
    <row r="19" spans="1:9" x14ac:dyDescent="0.25">
      <c r="A19" s="1"/>
      <c r="B19" s="101" t="s">
        <v>114</v>
      </c>
      <c r="C19" s="102"/>
      <c r="D19" s="102"/>
      <c r="E19" s="102"/>
      <c r="F19" s="103"/>
      <c r="G19" s="26">
        <f>SUM(G16:G18)*'Fane 14. Nøgletal'!C19</f>
        <v>285975.88486594975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115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1" t="s">
        <v>116</v>
      </c>
      <c r="C23" s="102"/>
      <c r="D23" s="102"/>
      <c r="E23" s="102"/>
      <c r="F23" s="103"/>
      <c r="G23" s="26">
        <f>(SUM(G16:G18)-G19)*(1+'Fane 14. Nøgletal'!C11)</f>
        <v>33135498.860632032</v>
      </c>
      <c r="H23" s="14" t="s">
        <v>3</v>
      </c>
      <c r="I23" s="1"/>
    </row>
    <row r="24" spans="1:9" x14ac:dyDescent="0.25">
      <c r="A24" s="1"/>
      <c r="B24" s="104" t="s">
        <v>117</v>
      </c>
      <c r="C24" s="105"/>
      <c r="D24" s="105"/>
      <c r="E24" s="105"/>
      <c r="F24" s="106"/>
      <c r="G24" s="26">
        <f>('Fane 2.1. Økonomisk ramme 2020'!C11+'Fane 2.1. Økonomisk ramme 2020'!C13+'Fane 2.1. Økonomisk ramme 2020'!C15)*(1+'Fane 14. Nøgletal'!C12)</f>
        <v>495578.49653654109</v>
      </c>
      <c r="H24" s="14" t="s">
        <v>3</v>
      </c>
      <c r="I24" s="1"/>
    </row>
    <row r="25" spans="1:9" x14ac:dyDescent="0.25">
      <c r="A25" s="1"/>
      <c r="B25" s="101" t="s">
        <v>118</v>
      </c>
      <c r="C25" s="102"/>
      <c r="D25" s="102"/>
      <c r="E25" s="102"/>
      <c r="F25" s="103"/>
      <c r="G25" s="26">
        <f>G23*'Fane 14. Nøgletal'!C19+G24*'Fane 14. Nøgletal'!C20</f>
        <v>302353.2693891364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190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1" t="s">
        <v>119</v>
      </c>
      <c r="C29" s="102"/>
      <c r="D29" s="102"/>
      <c r="E29" s="102"/>
      <c r="F29" s="103"/>
      <c r="G29" s="26">
        <f>(G23+G24-G25)*(1+'Fane 14. Nøgletal'!C12)</f>
        <v>33985299.952308692</v>
      </c>
      <c r="H29" s="14" t="s">
        <v>3</v>
      </c>
      <c r="I29" s="1"/>
    </row>
    <row r="30" spans="1:9" x14ac:dyDescent="0.25">
      <c r="A30" s="1"/>
      <c r="B30" s="101" t="s">
        <v>151</v>
      </c>
      <c r="C30" s="102"/>
      <c r="D30" s="102"/>
      <c r="E30" s="102"/>
      <c r="F30" s="103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1" t="s">
        <v>219</v>
      </c>
      <c r="C31" s="102"/>
      <c r="D31" s="102"/>
      <c r="E31" s="102"/>
      <c r="F31" s="103"/>
      <c r="G31" s="26">
        <f>(G29+G30)*'Fane 14. Nøgletal'!C20</f>
        <v>965182.51864556689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128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1" t="s">
        <v>123</v>
      </c>
      <c r="C35" s="102"/>
      <c r="D35" s="102"/>
      <c r="E35" s="102"/>
      <c r="F35" s="103"/>
      <c r="G35" s="26">
        <f>(G29-G31)*(1+'Fane 14. Nøgletal'!C12)</f>
        <v>33670613.747106291</v>
      </c>
      <c r="H35" s="14" t="s">
        <v>3</v>
      </c>
      <c r="I35" s="1"/>
    </row>
    <row r="36" spans="1:9" x14ac:dyDescent="0.25">
      <c r="A36" s="1"/>
      <c r="B36" s="101" t="s">
        <v>152</v>
      </c>
      <c r="C36" s="102"/>
      <c r="D36" s="102"/>
      <c r="E36" s="102"/>
      <c r="F36" s="103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1" t="s">
        <v>120</v>
      </c>
      <c r="C37" s="102"/>
      <c r="D37" s="102"/>
      <c r="E37" s="102"/>
      <c r="F37" s="103"/>
      <c r="G37" s="26">
        <f>(G35+G36)*'Fane 14. Nøgletal'!C20</f>
        <v>956245.43041781872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129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1" t="s">
        <v>122</v>
      </c>
      <c r="C41" s="102"/>
      <c r="D41" s="102"/>
      <c r="E41" s="102"/>
      <c r="F41" s="103"/>
      <c r="G41" s="26">
        <f>(G35-G37)*(1+'Fane 14. Nøgletal'!C12)</f>
        <v>33358841.372527238</v>
      </c>
      <c r="H41" s="14" t="s">
        <v>3</v>
      </c>
      <c r="I41" s="1"/>
    </row>
    <row r="42" spans="1:9" x14ac:dyDescent="0.25">
      <c r="A42" s="1"/>
      <c r="B42" s="101" t="s">
        <v>153</v>
      </c>
      <c r="C42" s="102"/>
      <c r="D42" s="102"/>
      <c r="E42" s="102"/>
      <c r="F42" s="103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1" t="s">
        <v>121</v>
      </c>
      <c r="C43" s="102"/>
      <c r="D43" s="102"/>
      <c r="E43" s="102"/>
      <c r="F43" s="103"/>
      <c r="G43" s="26">
        <f>(G41+G42)*'Fane 14. Nøgletal'!C20</f>
        <v>947391.09497977362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aqPRYhtmWcX4/ozquJXsh6oNyxW1aTf9StqUP2Vx/KGsJFraWzGlX+WryUQ1dTVxoV4dV4cCYeawbIP9xgejQ==" saltValue="O++Qiv38p/W/NrobTGXohw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144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178</v>
      </c>
      <c r="C9" s="102"/>
      <c r="D9" s="102"/>
      <c r="E9" s="102"/>
      <c r="F9" s="103"/>
      <c r="G9" s="25">
        <v>1.4041951237718703E-2</v>
      </c>
      <c r="H9" s="14"/>
      <c r="I9" s="1"/>
    </row>
    <row r="10" spans="1:9" x14ac:dyDescent="0.25">
      <c r="A10" s="1"/>
      <c r="B10" s="101" t="s">
        <v>179</v>
      </c>
      <c r="C10" s="102"/>
      <c r="D10" s="102"/>
      <c r="E10" s="102"/>
      <c r="F10" s="103"/>
      <c r="G10" s="25">
        <v>1.6003660562819523E-2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8"/>
      <c r="C13" s="108"/>
      <c r="D13" s="108"/>
      <c r="E13" s="108"/>
      <c r="F13" s="108"/>
      <c r="G13" s="108"/>
      <c r="H13" s="108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WuVcxrY6lGsOzucILaO5/X3kMx0shPsykcCiFagmPbDBl3FMHqxFmO6kz+Jb3b66soeFuthBGaNeXOcpnjtLw==" saltValue="yKI3o7jJYB+8qkg+CnEaW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2019-10-14T15:54:51Z</dcterms:modified>
</cp:coreProperties>
</file>