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BRØNDBY AS (S01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E11" i="11" l="1"/>
  <c r="E12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3" i="11" l="1"/>
  <c r="C10" i="37" s="1"/>
  <c r="C11" i="37" s="1"/>
  <c r="C12" i="37" s="1"/>
  <c r="C10" i="2" s="1"/>
  <c r="G13" i="11"/>
  <c r="E11" i="21" l="1"/>
  <c r="C11" i="21"/>
  <c r="E11" i="29"/>
  <c r="C11" i="29"/>
  <c r="C15" i="19"/>
  <c r="C16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3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<sst xmlns="http://schemas.openxmlformats.org/spreadsheetml/2006/main" count="673" uniqueCount="269">
  <si>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</si>
  <si>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</si>
  <si>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</si>
  <si>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</si>
  <si>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</si>
  <si>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</si>
  <si>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</si>
  <si>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</si>
  <si>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</si>
  <si>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</si>
  <si>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</si>
  <si>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</si>
  <si>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</si>
  <si>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</si>
  <si>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</si>
  <si>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</si>
  <si>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</si>
  <si>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</si>
  <si>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</si>
  <si>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</si>
  <si>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</si>
  <si>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</si>
  <si>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</si>
  <si>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</si>
  <si>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</si>
  <si>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</si>
  <si>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</si>
  <si>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</si>
  <si>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</si>
  <si>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</si>
  <si>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</si>
  <si>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</si>
  <si>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</si>
  <si>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</si>
  <si>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</si>
  <si>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</si>
  <si>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</si>
  <si>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</si>
  <si>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</si>
  <si>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</si>
  <si>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</si>
  <si>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</si>
  <si>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</si>
  <si>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</si>
  <si>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</si>
  <si>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</si>
  <si>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</si>
  <si>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</si>
  <si>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</si>
  <si>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</si>
  <si>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</si>
  <si>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</si>
  <si>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</si>
  <si>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</si>
  <si>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</si>
  <si>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</si>
  <si>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</si>
  <si>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</si>
  <si>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</si>
  <si>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</si>
  <si>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</si>
  <si>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</si>
  <si>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</si>
  <si>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</si>
  <si>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</si>
  <si>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</si>
  <si>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</si>
  <si>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</si>
  <si>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</si>
  <si>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</si>
  <si>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</si>
  <si>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</si>
  <si>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</si>
  <si>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</si>
  <si>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</si>
  <si>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</si>
  <si>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</si>
  <si>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</si>
  <si>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</si>
  <si>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</si>
  <si>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</si>
  <si>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</si>
  <si>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</si>
  <si>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</si>
  <si>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</si>
  <si>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</si>
  <si>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</si>
  <si>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</si>
  <si>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</si>
  <si>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</si>
  <si>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</si>
  <si>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</si>
  <si>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</si>
  <si>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</si>
  <si>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</si>
  <si>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</si>
  <si>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</si>
  <si>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</si>
  <si>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</si>
  <si>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</si>
  <si>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</si>
  <si>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</si>
  <si>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</si>
  <si>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</si>
  <si>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</si>
  <si>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</si>
  <si>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</si>
  <si>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</si>
  <si>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</si>
  <si>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</si>
  <si>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</si>
  <si>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</si>
  <si>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</si>
  <si>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</si>
  <si>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</si>
  <si>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</si>
  <si>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</si>
  <si>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</si>
  <si>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</si>
  <si>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</si>
  <si>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</si>
  <si>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</si>
  <si>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</si>
  <si>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</si>
  <si>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</si>
  <si>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</si>
  <si>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</si>
  <si>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</si>
  <si>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</si>
  <si>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</si>
  <si>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</si>
  <si>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</si>
  <si>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</si>
  <si>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</si>
  <si>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</si>
  <si>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</si>
  <si>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</si>
  <si>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</si>
  <si>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</si>
  <si>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</si>
  <si>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</si>
  <si>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</si>
  <si>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</si>
  <si>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</si>
  <si>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</si>
  <si>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</si>
  <si>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</si>
  <si>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</si>
  <si>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</si>
  <si>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</si>
  <si>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</si>
  <si>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</si>
  <si>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</si>
  <si>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</si>
  <si>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</si>
  <si>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</si>
  <si>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</si>
  <si>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</si>
  <si>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</si>
  <si>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</si>
  <si>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</si>
  <si>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</si>
  <si>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</si>
  <si>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</si>
  <si>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</si>
  <si>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</si>
  <si>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</si>
  <si>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</si>
  <si>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</si>
  <si>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</si>
  <si>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</si>
  <si>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</si>
  <si>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</si>
  <si>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</si>
  <si>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</si>
  <si>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</si>
  <si>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</si>
  <si>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</si>
  <si>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</si>
  <si>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</si>
  <si>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</si>
  <si>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</si>
  <si>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</si>
  <si>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</si>
  <si>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</si>
  <si>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</si>
  <si>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</si>
  <si>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</si>
  <si>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</si>
  <si>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</si>
  <si>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</si>
  <si>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</si>
  <si>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</si>
  <si>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</si>
  <si>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</si>
  <si>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</si>
  <si>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</si>
  <si>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</si>
  <si>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</si>
  <si>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</si>
  <si>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</si>
  <si>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</si>
  <si>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</si>
  <si>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</si>
  <si>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</si>
  <si>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</si>
  <si>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</si>
  <si>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</si>
  <si>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</si>
  <si>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</si>
  <si>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</si>
  <si>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</si>
  <si>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</si>
  <si>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</si>
  <si>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</si>
  <si>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</si>
  <si>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</si>
  <si>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</si>
  <si>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</si>
  <si>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</si>
  <si>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</si>
  <si>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</si>
  <si>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</si>
  <si>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</si>
  <si>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</si>
  <si>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</si>
  <si>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</si>
  <si>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</si>
  <si>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</si>
  <si>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</si>
  <si>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</si>
  <si>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</si>
  <si>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</si>
  <si>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</si>
  <si>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</si>
  <si>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</si>
  <si>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</si>
  <si>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</si>
  <si>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</si>
  <si>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</si>
  <si>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</si>
  <si>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</si>
  <si>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</si>
  <si>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</si>
  <si>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</si>
  <si>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</si>
  <si>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</si>
  <si>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</si>
  <si>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</si>
  <si>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</si>
  <si>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</si>
  <si>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</si>
  <si>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</si>
  <si>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</si>
  <si>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</si>
  <si>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</si>
  <si>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</si>
  <si>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</si>
  <si>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</si>
  <si>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Afgift til Forsyningssekretariatet</t>
  </si>
  <si>
    <t>Køb af ydelser og produkter fra andre vandselskaber reguleret af vandsektorloven</t>
  </si>
  <si>
    <t>Selskabsskat</t>
  </si>
  <si>
    <t>Ejendomsskatter</t>
  </si>
  <si>
    <t>Tjenestemandspensioner</t>
  </si>
  <si>
    <t>Ingen engangstillæg</t>
  </si>
  <si>
    <t>Pumpestationer i underjordiske bygværker (&lt;50 m2), SRO</t>
  </si>
  <si>
    <t>Software</t>
  </si>
  <si>
    <t>Ø 1200 mm &lt; Ledningsnet ≤ Ø 1600 mm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</si>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</sst>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0" borderId="1" xfId="0" applyNumberFormat="1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172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52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23</v>
      </c>
      <c r="D14" s="69" t="s">
        <v>54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51</v>
      </c>
      <c r="D15" s="69" t="s">
        <v>135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53</v>
      </c>
      <c r="D16" s="69" t="s">
        <v>136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241</v>
      </c>
      <c r="D17" s="69" t="s">
        <v>63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212</v>
      </c>
      <c r="D18" s="63" t="s">
        <v>180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213</v>
      </c>
      <c r="D19" s="63" t="s">
        <v>181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214</v>
      </c>
      <c r="D21" s="73" t="s">
        <v>17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142</v>
      </c>
      <c r="D22" s="57" t="s">
        <v>176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249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55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215</v>
      </c>
      <c r="D25" s="57" t="s">
        <v>143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216</v>
      </c>
      <c r="D26" s="57" t="s">
        <v>144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217</v>
      </c>
      <c r="D27" s="57" t="s">
        <v>145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22</v>
      </c>
      <c r="D28" s="57" t="s">
        <v>56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58</v>
      </c>
      <c r="D29" s="57" t="s">
        <v>57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59</v>
      </c>
      <c r="D30" s="66" t="s">
        <v>11</v>
      </c>
      <c r="E30" s="67"/>
      <c r="F30" s="67"/>
      <c r="G30" s="68"/>
      <c r="H30" s="1"/>
      <c r="I30" s="1"/>
    </row>
    <row r="31" spans="1:9" x14ac:dyDescent="0.25">
      <c r="A31" s="1"/>
      <c r="B31" s="1"/>
      <c r="C31" s="6" t="s">
        <v>175</v>
      </c>
      <c r="D31" s="60" t="s">
        <v>207</v>
      </c>
      <c r="E31" s="61"/>
      <c r="F31" s="61"/>
      <c r="G31" s="62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VgypbjKmMGyS1edwXE4/puEtyye8gp6u8Jl3xpTBgbwgnORA0iswXSZt97HVKQOUfXsajfA7Z5euomReuiRc7Q==" saltValue="mLdA0Etxxs08KDmsLUZ7Hw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3" t="s">
        <v>66</v>
      </c>
      <c r="C8" s="84"/>
      <c r="D8" s="8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4" t="s">
        <v>259</v>
      </c>
      <c r="C10" s="9">
        <v>46085</v>
      </c>
      <c r="D10" s="14" t="s">
        <v>3</v>
      </c>
      <c r="E10" s="1"/>
      <c r="F10" s="1"/>
    </row>
    <row r="11" spans="1:6" ht="26.25" x14ac:dyDescent="0.25">
      <c r="A11" s="1"/>
      <c r="B11" s="35" t="s">
        <v>260</v>
      </c>
      <c r="C11" s="9">
        <v>15216709</v>
      </c>
      <c r="D11" s="14" t="s">
        <v>3</v>
      </c>
      <c r="E11" s="1"/>
      <c r="F11" s="1"/>
    </row>
    <row r="12" spans="1:6" x14ac:dyDescent="0.25">
      <c r="A12" s="1"/>
      <c r="B12" s="35" t="s">
        <v>261</v>
      </c>
      <c r="C12" s="9">
        <v>4734275</v>
      </c>
      <c r="D12" s="14" t="s">
        <v>3</v>
      </c>
      <c r="E12" s="1"/>
      <c r="F12" s="1"/>
    </row>
    <row r="13" spans="1:6" x14ac:dyDescent="0.25">
      <c r="A13" s="1"/>
      <c r="B13" s="35" t="s">
        <v>262</v>
      </c>
      <c r="C13" s="9">
        <v>2025</v>
      </c>
      <c r="D13" s="14" t="s">
        <v>3</v>
      </c>
      <c r="E13" s="1"/>
      <c r="F13" s="1"/>
    </row>
    <row r="14" spans="1:6" x14ac:dyDescent="0.25">
      <c r="A14" s="1"/>
      <c r="B14" s="54" t="s">
        <v>263</v>
      </c>
      <c r="C14" s="9">
        <v>140314</v>
      </c>
      <c r="D14" s="14" t="s">
        <v>3</v>
      </c>
      <c r="E14" s="1"/>
      <c r="F14" s="1"/>
    </row>
    <row r="15" spans="1:6" x14ac:dyDescent="0.25">
      <c r="A15" s="1"/>
      <c r="B15" s="40" t="s">
        <v>68</v>
      </c>
      <c r="C15" s="12">
        <f>SUM(C10:C14)</f>
        <v>20139408</v>
      </c>
      <c r="D15" s="13" t="s">
        <v>3</v>
      </c>
      <c r="E15" s="1"/>
      <c r="F15" s="1"/>
    </row>
    <row r="16" spans="1:6" x14ac:dyDescent="0.25">
      <c r="A16" s="1"/>
      <c r="B16" s="40" t="s">
        <v>69</v>
      </c>
      <c r="C16" s="12">
        <f>C15*(1+'Fane 15. Nøgletal'!C12)^2</f>
        <v>20940716.578050721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3" t="s">
        <v>236</v>
      </c>
      <c r="C19" s="84"/>
      <c r="D19" s="85"/>
      <c r="E19" s="1"/>
      <c r="F19" s="1"/>
    </row>
    <row r="20" spans="1:6" x14ac:dyDescent="0.25">
      <c r="A20" s="1"/>
      <c r="B20" s="54" t="s">
        <v>197</v>
      </c>
      <c r="C20" s="9">
        <v>320486</v>
      </c>
      <c r="D20" s="14" t="s">
        <v>3</v>
      </c>
      <c r="E20" s="1"/>
      <c r="F20" s="1"/>
    </row>
    <row r="21" spans="1:6" x14ac:dyDescent="0.25">
      <c r="A21" s="1"/>
      <c r="B21" s="54" t="s">
        <v>198</v>
      </c>
      <c r="C21" s="9">
        <v>320621</v>
      </c>
      <c r="D21" s="14" t="s">
        <v>3</v>
      </c>
      <c r="E21" s="1"/>
      <c r="F21" s="1"/>
    </row>
    <row r="22" spans="1:6" x14ac:dyDescent="0.25">
      <c r="A22" s="1"/>
      <c r="B22" s="54" t="s">
        <v>199</v>
      </c>
      <c r="C22" s="9">
        <v>320758</v>
      </c>
      <c r="D22" s="14" t="s">
        <v>3</v>
      </c>
      <c r="E22" s="1"/>
      <c r="F22" s="1"/>
    </row>
    <row r="23" spans="1:6" x14ac:dyDescent="0.25">
      <c r="A23" s="1"/>
      <c r="B23" s="54" t="s">
        <v>200</v>
      </c>
      <c r="C23" s="9">
        <v>320897</v>
      </c>
      <c r="D23" s="14" t="s">
        <v>3</v>
      </c>
      <c r="E23" s="1"/>
      <c r="F23" s="1"/>
    </row>
    <row r="24" spans="1:6" x14ac:dyDescent="0.25">
      <c r="A24" s="1"/>
      <c r="B24" s="83"/>
      <c r="C24" s="84"/>
      <c r="D24" s="85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3" t="s">
        <v>196</v>
      </c>
      <c r="C27" s="84"/>
      <c r="D27" s="85"/>
      <c r="E27" s="1"/>
      <c r="F27" s="1"/>
    </row>
    <row r="28" spans="1:6" x14ac:dyDescent="0.25">
      <c r="A28" s="1"/>
      <c r="B28" s="54" t="s">
        <v>197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198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199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3"/>
      <c r="C32" s="84"/>
      <c r="D32" s="85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ik/jmkTVJilYC5ZNOXTE7PykigQ4l1/o/fWSVBZ9YTcCAnporI+xqtrTHQjog30EFmdP0kdEEzB2xZUH7JbSmA==" saltValue="KIHIa0g8JN8of+A+SknwHg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226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47"/>
      <c r="C5" s="47"/>
      <c r="D5" s="47"/>
      <c r="E5" s="47"/>
      <c r="F5" s="47"/>
      <c r="G5" s="1"/>
    </row>
    <row r="6" spans="1:7" ht="15" customHeight="1" x14ac:dyDescent="0.25">
      <c r="A6" s="1"/>
      <c r="B6" s="47"/>
      <c r="C6" s="47"/>
      <c r="D6" s="47"/>
      <c r="E6" s="47"/>
      <c r="F6" s="47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183</v>
      </c>
      <c r="C8" s="84"/>
      <c r="D8" s="84"/>
      <c r="E8" s="84"/>
      <c r="F8" s="85"/>
      <c r="G8" s="1"/>
    </row>
    <row r="9" spans="1:7" x14ac:dyDescent="0.25">
      <c r="A9" s="1"/>
      <c r="B9" s="96" t="s">
        <v>184</v>
      </c>
      <c r="C9" s="97"/>
      <c r="D9" s="98"/>
      <c r="E9" s="9">
        <v>52997257.151067652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52084251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6" t="s">
        <v>186</v>
      </c>
      <c r="C12" s="87"/>
      <c r="D12" s="88"/>
      <c r="E12" s="10">
        <f>E9-(E10-E11)</f>
        <v>913006.15106765181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3" t="s">
        <v>73</v>
      </c>
      <c r="C17" s="84"/>
      <c r="D17" s="84"/>
      <c r="E17" s="84"/>
      <c r="F17" s="85"/>
      <c r="G17" s="1"/>
    </row>
    <row r="18" spans="1:7" x14ac:dyDescent="0.25">
      <c r="A18" s="1"/>
      <c r="B18" s="96" t="s">
        <v>74</v>
      </c>
      <c r="C18" s="97"/>
      <c r="D18" s="98"/>
      <c r="E18" s="9">
        <v>54120221.37757121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51572233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6" t="s">
        <v>76</v>
      </c>
      <c r="C21" s="87"/>
      <c r="D21" s="88"/>
      <c r="E21" s="10">
        <f>E18-(E19-E20)</f>
        <v>2547988.3775712103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3" t="s">
        <v>179</v>
      </c>
      <c r="C25" s="84"/>
      <c r="D25" s="84"/>
      <c r="E25" s="84"/>
      <c r="F25" s="8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6" t="s">
        <v>251</v>
      </c>
      <c r="C28" s="87"/>
      <c r="D28" s="88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0fEVY/PuO9Gb1PhHHBBwJAf3TCkMVSwImtj4mEIKbk7MfaAjD1Wqi+sdN9qcJ33S/3BheX9XE/9feHl0xXzb2Q==" saltValue="BTNbrc9Iudl2sh71cbcSCA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252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3" t="s">
        <v>177</v>
      </c>
      <c r="C9" s="84"/>
      <c r="D9" s="84"/>
      <c r="E9" s="84"/>
      <c r="F9" s="8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6" t="s">
        <v>203</v>
      </c>
      <c r="C12" s="87"/>
      <c r="D12" s="88"/>
      <c r="E12" s="10">
        <f>E11-E10</f>
        <v>0</v>
      </c>
      <c r="F12" s="11" t="s">
        <v>3</v>
      </c>
      <c r="G12" s="1"/>
    </row>
    <row r="13" spans="1:7" x14ac:dyDescent="0.25">
      <c r="A13" s="1"/>
      <c r="B13" s="83" t="s">
        <v>178</v>
      </c>
      <c r="C13" s="84"/>
      <c r="D13" s="84"/>
      <c r="E13" s="84"/>
      <c r="F13" s="8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150789</v>
      </c>
      <c r="F15" s="8" t="s">
        <v>3</v>
      </c>
      <c r="G15" s="1"/>
    </row>
    <row r="16" spans="1:7" x14ac:dyDescent="0.25">
      <c r="A16" s="1"/>
      <c r="B16" s="86" t="s">
        <v>203</v>
      </c>
      <c r="C16" s="87"/>
      <c r="D16" s="88"/>
      <c r="E16" s="10">
        <f>E15-E14</f>
        <v>150789</v>
      </c>
      <c r="F16" s="11" t="s">
        <v>3</v>
      </c>
      <c r="G16" s="1"/>
    </row>
    <row r="17" spans="1:7" ht="15" customHeight="1" x14ac:dyDescent="0.25">
      <c r="A17" s="1"/>
      <c r="B17" s="83" t="s">
        <v>173</v>
      </c>
      <c r="C17" s="84"/>
      <c r="D17" s="84"/>
      <c r="E17" s="84"/>
      <c r="F17" s="8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89" t="s">
        <v>182</v>
      </c>
      <c r="C19" s="90"/>
      <c r="D19" s="91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8185.7686203947815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158974.76862039478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8/+5dD4ICxZT4jMYk/5znpaIXdh3TtRRU8+OXG4/LZQLFdg8R9l33V6gYfPcWjSOhzJaTzEZj3kHqnqatT6cPQ==" saltValue="u1wPy/y8CVuUxlgBo2AjVQ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254</v>
      </c>
      <c r="C8" s="84"/>
      <c r="D8" s="84"/>
      <c r="E8" s="84"/>
      <c r="F8" s="84"/>
      <c r="G8" s="84"/>
      <c r="H8" s="8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ht="39" x14ac:dyDescent="0.25">
      <c r="A10" s="1"/>
      <c r="B10" s="56" t="s">
        <v>265</v>
      </c>
      <c r="C10" s="45">
        <v>10</v>
      </c>
      <c r="D10" s="9">
        <v>667508</v>
      </c>
      <c r="E10" s="9">
        <f>IFERROR(D10/C10,0)</f>
        <v>66750.8</v>
      </c>
      <c r="F10" s="9">
        <v>0</v>
      </c>
      <c r="G10" s="9">
        <v>918</v>
      </c>
      <c r="H10" s="14" t="s">
        <v>3</v>
      </c>
      <c r="I10" s="1"/>
    </row>
    <row r="11" spans="1:9" x14ac:dyDescent="0.25">
      <c r="A11" s="1"/>
      <c r="B11" s="56" t="s">
        <v>266</v>
      </c>
      <c r="C11" s="45">
        <v>5</v>
      </c>
      <c r="D11" s="9">
        <v>2027480</v>
      </c>
      <c r="E11" s="9">
        <f t="shared" ref="E11:E12" si="0">IFERROR(D11/C11,0)</f>
        <v>405496</v>
      </c>
      <c r="F11" s="9">
        <v>0</v>
      </c>
      <c r="G11" s="9">
        <v>2788</v>
      </c>
      <c r="H11" s="14" t="s">
        <v>3</v>
      </c>
      <c r="I11" s="1"/>
    </row>
    <row r="12" spans="1:9" ht="26.25" x14ac:dyDescent="0.25">
      <c r="A12" s="1"/>
      <c r="B12" s="56" t="s">
        <v>267</v>
      </c>
      <c r="C12" s="45">
        <v>75</v>
      </c>
      <c r="D12" s="9">
        <v>7493710</v>
      </c>
      <c r="E12" s="9">
        <f t="shared" si="0"/>
        <v>99916.133333333331</v>
      </c>
      <c r="F12" s="9">
        <v>0</v>
      </c>
      <c r="G12" s="9">
        <v>10303</v>
      </c>
      <c r="H12" s="14" t="s">
        <v>3</v>
      </c>
      <c r="I12" s="1"/>
    </row>
    <row r="13" spans="1:9" x14ac:dyDescent="0.25">
      <c r="A13" s="1"/>
      <c r="B13" s="83" t="s">
        <v>255</v>
      </c>
      <c r="C13" s="84"/>
      <c r="D13" s="85"/>
      <c r="E13" s="12">
        <f>SUM(E10:E12)</f>
        <v>572162.93333333335</v>
      </c>
      <c r="F13" s="12">
        <f t="shared" ref="F13:G13" si="1">SUM(F10:F12)</f>
        <v>0</v>
      </c>
      <c r="G13" s="12">
        <f t="shared" si="1"/>
        <v>14009</v>
      </c>
      <c r="H13" s="13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mNGqurkARct8toze4J/BsXpAzsgVskYtByLpF37EOm/FD/hiASjB1x7aT0agZlM3bT4sPpGjDz9s5DoO4Z6nHw==" saltValue="Owut+fYh7zjZySWUrnJM0g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2" t="s">
        <v>25</v>
      </c>
      <c r="C9" s="52" t="s">
        <v>16</v>
      </c>
      <c r="D9" s="53"/>
      <c r="E9" s="52" t="s">
        <v>48</v>
      </c>
      <c r="F9" s="39"/>
      <c r="G9" s="1"/>
    </row>
    <row r="10" spans="1:7" x14ac:dyDescent="0.25">
      <c r="A10" s="1"/>
      <c r="B10" s="27" t="s">
        <v>268</v>
      </c>
      <c r="C10" s="24">
        <f>'Fane 9. Anlægsprojekter'!F13</f>
        <v>0</v>
      </c>
      <c r="D10" s="14" t="s">
        <v>3</v>
      </c>
      <c r="E10" s="9">
        <f>SUM('Fane 9. Anlægsprojekter'!E13,'Fane 9. Anlægsprojekter'!G13)</f>
        <v>586171.93333333335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586171.93333333335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597719.52042000007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2RHStqkprxq10CZDB51pvUH61R79R1sHyahTss1pNeugsuYgY3HhZQLkf3NU1BKITuzHQBdugNJJXLutQvabuQ==" saltValue="9qipGtEVxJwj0mbfeFkJC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187</v>
      </c>
      <c r="C8" s="84"/>
      <c r="D8" s="84"/>
      <c r="E8" s="84"/>
      <c r="F8" s="85"/>
      <c r="G8" s="1"/>
    </row>
    <row r="9" spans="1:7" x14ac:dyDescent="0.25">
      <c r="A9" s="1"/>
      <c r="B9" s="52" t="s">
        <v>25</v>
      </c>
      <c r="C9" s="52" t="s">
        <v>16</v>
      </c>
      <c r="D9" s="53"/>
      <c r="E9" s="52" t="s">
        <v>48</v>
      </c>
      <c r="F9" s="39"/>
      <c r="G9" s="1"/>
    </row>
    <row r="10" spans="1:7" x14ac:dyDescent="0.25">
      <c r="A10" s="1"/>
      <c r="B10" s="27" t="s">
        <v>264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3" t="s">
        <v>188</v>
      </c>
      <c r="C16" s="84"/>
      <c r="D16" s="84"/>
      <c r="E16" s="84"/>
      <c r="F16" s="85"/>
      <c r="G16" s="1"/>
    </row>
    <row r="17" spans="1:7" x14ac:dyDescent="0.25">
      <c r="A17" s="1"/>
      <c r="B17" s="52" t="s">
        <v>25</v>
      </c>
      <c r="C17" s="52" t="s">
        <v>16</v>
      </c>
      <c r="D17" s="53"/>
      <c r="E17" s="52" t="s">
        <v>48</v>
      </c>
      <c r="F17" s="39"/>
      <c r="G17" s="1"/>
    </row>
    <row r="18" spans="1:7" x14ac:dyDescent="0.25">
      <c r="A18" s="1"/>
      <c r="B18" s="27" t="s">
        <v>264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3" t="s">
        <v>189</v>
      </c>
      <c r="C24" s="84"/>
      <c r="D24" s="84"/>
      <c r="E24" s="84"/>
      <c r="F24" s="85"/>
      <c r="G24" s="1"/>
    </row>
    <row r="25" spans="1:7" x14ac:dyDescent="0.25">
      <c r="A25" s="1"/>
      <c r="B25" s="52" t="s">
        <v>25</v>
      </c>
      <c r="C25" s="52" t="s">
        <v>16</v>
      </c>
      <c r="D25" s="53"/>
      <c r="E25" s="52" t="s">
        <v>48</v>
      </c>
      <c r="F25" s="39"/>
      <c r="G25" s="1"/>
    </row>
    <row r="26" spans="1:7" x14ac:dyDescent="0.25">
      <c r="A26" s="1"/>
      <c r="B26" s="27" t="s">
        <v>264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3" t="s">
        <v>190</v>
      </c>
      <c r="C32" s="84"/>
      <c r="D32" s="84"/>
      <c r="E32" s="84"/>
      <c r="F32" s="85"/>
      <c r="G32" s="1"/>
    </row>
    <row r="33" spans="1:7" x14ac:dyDescent="0.25">
      <c r="A33" s="1"/>
      <c r="B33" s="52" t="s">
        <v>25</v>
      </c>
      <c r="C33" s="52" t="s">
        <v>16</v>
      </c>
      <c r="D33" s="53"/>
      <c r="E33" s="52" t="s">
        <v>48</v>
      </c>
      <c r="F33" s="39"/>
      <c r="G33" s="1"/>
    </row>
    <row r="34" spans="1:7" x14ac:dyDescent="0.25">
      <c r="A34" s="1"/>
      <c r="B34" s="27" t="s">
        <v>264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1FbFZf8AZde/KeokNzpF+MrnFNFQqktYwOv7ggifyzzUH83T7e4jyiAwjT0785trGapvWKOSapcywpX74EcLiQ==" saltValue="RitkMvhjCU0CKX5uL8jI2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227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160</v>
      </c>
      <c r="C8" s="84"/>
      <c r="D8" s="84"/>
      <c r="E8" s="84"/>
      <c r="F8" s="85"/>
      <c r="G8" s="1"/>
    </row>
    <row r="9" spans="1:7" x14ac:dyDescent="0.25">
      <c r="A9" s="1"/>
      <c r="B9" s="110" t="s">
        <v>159</v>
      </c>
      <c r="C9" s="111"/>
      <c r="D9" s="112"/>
      <c r="E9" s="9">
        <v>220604.03625000003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krav'!G11</f>
        <v>-2360.1374429919465</v>
      </c>
      <c r="F10" s="14" t="s">
        <v>3</v>
      </c>
      <c r="G10" s="1"/>
    </row>
    <row r="11" spans="1:7" x14ac:dyDescent="0.25">
      <c r="A11" s="1"/>
      <c r="B11" s="93" t="s">
        <v>39</v>
      </c>
      <c r="C11" s="94"/>
      <c r="D11" s="95"/>
      <c r="E11" s="9">
        <f>-E9*'Fane 15. Nøgletal'!C25</f>
        <v>-4412.0807250000007</v>
      </c>
      <c r="F11" s="14" t="s">
        <v>3</v>
      </c>
      <c r="G11" s="1"/>
    </row>
    <row r="12" spans="1:7" x14ac:dyDescent="0.25">
      <c r="A12" s="1"/>
      <c r="B12" s="83" t="s">
        <v>164</v>
      </c>
      <c r="C12" s="84"/>
      <c r="D12" s="85"/>
      <c r="E12" s="12">
        <f>SUM(E9:E11)*(1+'Fane 15. Nøgletal'!C12)^2</f>
        <v>222339.77770471864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161</v>
      </c>
      <c r="C14" s="84"/>
      <c r="D14" s="84"/>
      <c r="E14" s="84"/>
      <c r="F14" s="85"/>
      <c r="G14" s="1"/>
    </row>
    <row r="15" spans="1:7" x14ac:dyDescent="0.25">
      <c r="A15" s="1"/>
      <c r="B15" s="110" t="s">
        <v>159</v>
      </c>
      <c r="C15" s="111"/>
      <c r="D15" s="112"/>
      <c r="E15" s="9">
        <v>220604.03625000003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krav'!G11</f>
        <v>-2360.1374429919465</v>
      </c>
      <c r="F16" s="14" t="s">
        <v>3</v>
      </c>
      <c r="G16" s="1"/>
    </row>
    <row r="17" spans="1:7" x14ac:dyDescent="0.25">
      <c r="A17" s="1"/>
      <c r="B17" s="93" t="s">
        <v>39</v>
      </c>
      <c r="C17" s="94"/>
      <c r="D17" s="95"/>
      <c r="E17" s="9">
        <f>-E15*'Fane 15. Nøgletal'!C25</f>
        <v>-4412.0807250000007</v>
      </c>
      <c r="F17" s="14" t="s">
        <v>3</v>
      </c>
      <c r="G17" s="1"/>
    </row>
    <row r="18" spans="1:7" x14ac:dyDescent="0.25">
      <c r="A18" s="1"/>
      <c r="B18" s="83" t="s">
        <v>165</v>
      </c>
      <c r="C18" s="84"/>
      <c r="D18" s="85"/>
      <c r="E18" s="12">
        <f>SUM(E15:E17)*(1+'Fane 15. Nøgletal'!C12)^3</f>
        <v>226719.87132550159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162</v>
      </c>
      <c r="C20" s="84"/>
      <c r="D20" s="84"/>
      <c r="E20" s="84"/>
      <c r="F20" s="85"/>
      <c r="G20" s="1"/>
    </row>
    <row r="21" spans="1:7" x14ac:dyDescent="0.25">
      <c r="A21" s="1"/>
      <c r="B21" s="110" t="s">
        <v>159</v>
      </c>
      <c r="C21" s="111"/>
      <c r="D21" s="112"/>
      <c r="E21" s="9">
        <v>220604.03625000003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krav'!G11</f>
        <v>-2360.1374429919465</v>
      </c>
      <c r="F22" s="14" t="s">
        <v>3</v>
      </c>
      <c r="G22" s="1"/>
    </row>
    <row r="23" spans="1:7" x14ac:dyDescent="0.25">
      <c r="A23" s="1"/>
      <c r="B23" s="93" t="s">
        <v>39</v>
      </c>
      <c r="C23" s="94"/>
      <c r="D23" s="95"/>
      <c r="E23" s="9">
        <f>-E21*'Fane 15. Nøgletal'!C25</f>
        <v>-4412.0807250000007</v>
      </c>
      <c r="F23" s="14" t="s">
        <v>3</v>
      </c>
      <c r="G23" s="1"/>
    </row>
    <row r="24" spans="1:7" x14ac:dyDescent="0.25">
      <c r="A24" s="1"/>
      <c r="B24" s="83" t="s">
        <v>166</v>
      </c>
      <c r="C24" s="84"/>
      <c r="D24" s="85"/>
      <c r="E24" s="12">
        <f>SUM(E21:E23)*(1+'Fane 15. Nøgletal'!C12)^4</f>
        <v>231186.252790614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163</v>
      </c>
      <c r="C26" s="84"/>
      <c r="D26" s="84"/>
      <c r="E26" s="84"/>
      <c r="F26" s="85"/>
      <c r="G26" s="1"/>
    </row>
    <row r="27" spans="1:7" x14ac:dyDescent="0.25">
      <c r="A27" s="1"/>
      <c r="B27" s="110" t="s">
        <v>159</v>
      </c>
      <c r="C27" s="111"/>
      <c r="D27" s="112"/>
      <c r="E27" s="9">
        <v>220604.03625000003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krav'!G11</f>
        <v>-2360.1374429919465</v>
      </c>
      <c r="F28" s="14" t="s">
        <v>3</v>
      </c>
      <c r="G28" s="1"/>
    </row>
    <row r="29" spans="1:7" x14ac:dyDescent="0.25">
      <c r="A29" s="1"/>
      <c r="B29" s="93" t="s">
        <v>39</v>
      </c>
      <c r="C29" s="94"/>
      <c r="D29" s="95"/>
      <c r="E29" s="9">
        <f>-E27*'Fane 15. Nøgletal'!C25</f>
        <v>-4412.0807250000007</v>
      </c>
      <c r="F29" s="14" t="s">
        <v>3</v>
      </c>
      <c r="G29" s="1"/>
    </row>
    <row r="30" spans="1:7" x14ac:dyDescent="0.25">
      <c r="A30" s="1"/>
      <c r="B30" s="83" t="s">
        <v>167</v>
      </c>
      <c r="C30" s="84"/>
      <c r="D30" s="85"/>
      <c r="E30" s="12">
        <f>SUM(E27:E29)*(1+'Fane 15. Nøgletal'!C12)^5</f>
        <v>235740.62197058913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7KoTHExz3Aj2Hrpf0LGcKfvdvh3sjrEE42kXrBhXQao9fmcILbaz4Ng2L5+PHK4oLLf/ECEh9TSkYg9eJ+iCIw==" saltValue="zfiH57jgP5ZTvmZMNMwx7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32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3iB0ElnRe+D9mSKzdpq2DO7nzmKowR6xeL6cM77p5fhMIiVT0CbkEcobL38rTd90qlSCpXLPdY/R7Bh2C4iynw==" saltValue="ba3xJWUgx1siywhW1dNZl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169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170</v>
      </c>
      <c r="C14" s="84"/>
      <c r="D14" s="84"/>
      <c r="E14" s="84"/>
      <c r="F14" s="8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168</v>
      </c>
      <c r="C20" s="84"/>
      <c r="D20" s="84"/>
      <c r="E20" s="84"/>
      <c r="F20" s="8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171</v>
      </c>
      <c r="C26" s="84"/>
      <c r="D26" s="84"/>
      <c r="E26" s="84"/>
      <c r="F26" s="8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vSAYd3cxzSyymyTDYTcsdto0DY8QPYbiM51BVl8PU0Z4wzwdV10bShtTtBO0ISKMIV9xGvs55QOQTwAsK7EZhQ==" saltValue="seZpW7dXeWjbI+RZzKZev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18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-1974468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1974468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0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0</v>
      </c>
      <c r="H13" s="14" t="s">
        <v>28</v>
      </c>
      <c r="I13" s="1"/>
    </row>
    <row r="14" spans="1:9" x14ac:dyDescent="0.25">
      <c r="A14" s="1"/>
      <c r="B14" s="83" t="s">
        <v>138</v>
      </c>
      <c r="C14" s="84"/>
      <c r="D14" s="84"/>
      <c r="E14" s="84"/>
      <c r="F14" s="85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f979RmdGP5BDlzZ55mvDJtjEzgT2M2pZoM5WSLFo6V1ngTsyMroaMgDsvDYZUmvYBxwkaF+BxPwMHft4i0pnA==" saltValue="feN0UuJ5lTp6r/AGx6TSI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33722208.598509796</v>
      </c>
      <c r="D9" s="8" t="s">
        <v>3</v>
      </c>
      <c r="E9" s="1"/>
    </row>
    <row r="10" spans="1:5" ht="17.100000000000001" customHeight="1" x14ac:dyDescent="0.25">
      <c r="A10" s="1"/>
      <c r="B10" s="48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65</v>
      </c>
      <c r="C11" s="9">
        <f>'Fane 10.1. Varige tillæg'!E12</f>
        <v>597719.52042000007</v>
      </c>
      <c r="D11" s="8" t="s">
        <v>3</v>
      </c>
      <c r="E11" s="1"/>
    </row>
    <row r="12" spans="1:5" ht="17.100000000000001" customHeight="1" x14ac:dyDescent="0.25">
      <c r="A12" s="1"/>
      <c r="B12" s="48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27</v>
      </c>
      <c r="C16" s="9">
        <f>SUM(C9:C15)*'Fane 15. Nøgletal'!C12</f>
        <v>676102.58394291694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-374405.85322901432</v>
      </c>
      <c r="D17" s="8" t="s">
        <v>3</v>
      </c>
      <c r="E17" s="1"/>
    </row>
    <row r="18" spans="1:5" ht="17.100000000000001" customHeight="1" x14ac:dyDescent="0.25">
      <c r="A18" s="1"/>
      <c r="B18" s="48" t="s">
        <v>39</v>
      </c>
      <c r="C18" s="9">
        <f>-'Fane 4.1. Gen. krav - drift'!G28</f>
        <v>-114619.85045075217</v>
      </c>
      <c r="D18" s="8" t="s">
        <v>3</v>
      </c>
      <c r="E18" s="1"/>
    </row>
    <row r="19" spans="1:5" ht="17.100000000000001" customHeight="1" x14ac:dyDescent="0.25">
      <c r="A19" s="1"/>
      <c r="B19" s="48" t="s">
        <v>40</v>
      </c>
      <c r="C19" s="9">
        <f>-'Fane 4.2. Gen. krav - anlæg'!G25</f>
        <v>-892345.29153792432</v>
      </c>
      <c r="D19" s="8" t="s">
        <v>3</v>
      </c>
      <c r="E19" s="1"/>
    </row>
    <row r="20" spans="1:5" ht="17.100000000000001" customHeight="1" x14ac:dyDescent="0.25">
      <c r="A20" s="1"/>
      <c r="B20" s="49" t="s">
        <v>29</v>
      </c>
      <c r="C20" s="10">
        <f>SUM(C9:C19)</f>
        <v>33614659.70765502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omk.'!C16+'Fane 6. Ikke-påvirkelige omk.'!C20+'Fane 6. Ikke-påvirkelige omk.'!C28</f>
        <v>21261202.578050721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9" t="s">
        <v>145</v>
      </c>
      <c r="C24" s="10">
        <f>'Fane 11. Periodevise driftsomk.'!E12</f>
        <v>222339.77770471864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8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158974.76862039478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55257176.832030855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5QNVUmdWZDjj180iIpKql5zdVCLTbPH6i/Q1jQjamWKOx+kG8bQEbvAWfGANx14ghk7mmKh6A9GFTlCsPcDqIA==" saltValue="Jjdo3klqnfdI9s1kglsBL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248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4" t="s">
        <v>228</v>
      </c>
      <c r="C9" s="28">
        <v>1.2699999999999999E-2</v>
      </c>
      <c r="D9" s="1"/>
    </row>
    <row r="10" spans="1:4" x14ac:dyDescent="0.25">
      <c r="A10" s="1"/>
      <c r="B10" s="54" t="s">
        <v>229</v>
      </c>
      <c r="C10" s="28">
        <v>1.7500000000000002E-2</v>
      </c>
      <c r="D10" s="1"/>
    </row>
    <row r="11" spans="1:4" x14ac:dyDescent="0.25">
      <c r="A11" s="1"/>
      <c r="B11" s="54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4" t="s">
        <v>231</v>
      </c>
      <c r="C17" s="25">
        <v>9.1000000000000004E-3</v>
      </c>
      <c r="D17" s="1"/>
    </row>
    <row r="18" spans="1:4" x14ac:dyDescent="0.25">
      <c r="A18" s="1"/>
      <c r="B18" s="54" t="s">
        <v>232</v>
      </c>
      <c r="C18" s="25">
        <v>1.77E-2</v>
      </c>
      <c r="D18" s="1"/>
    </row>
    <row r="19" spans="1:4" x14ac:dyDescent="0.25">
      <c r="A19" s="1"/>
      <c r="B19" s="54" t="s">
        <v>233</v>
      </c>
      <c r="C19" s="25">
        <v>8.6999999999999994E-3</v>
      </c>
      <c r="D19" s="1"/>
    </row>
    <row r="20" spans="1:4" x14ac:dyDescent="0.25">
      <c r="A20" s="1"/>
      <c r="B20" s="54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4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rUMCMCrPCDA3yvC2sD9B+k1XlYKtoWg1XrQ1zlxIVGosjr2n8fHl+8EFYJZnkym1H4RC4Vt6B2RBCS0HvBnJbw==" saltValue="XNKG2EC1JaWYDFGjrBpTt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33614659.70765502</v>
      </c>
      <c r="D9" s="8" t="s">
        <v>3</v>
      </c>
      <c r="E9" s="1"/>
    </row>
    <row r="10" spans="1:5" ht="15" customHeight="1" x14ac:dyDescent="0.25">
      <c r="A10" s="1"/>
      <c r="B10" s="48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662208.7962408039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-366711.87961800437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-114540.30427453935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-884082.63815783465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32911533.681845453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Nøgletal'!C12)+'Fane 6. Ikke-påvirkelige omk.'!C21+'Fane 6. Ikke-påvirkelige omk.'!C29</f>
        <v>21673869.694638323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9" t="s">
        <v>146</v>
      </c>
      <c r="C20" s="10">
        <f>'Fane 11. Periodevise driftsomk.'!E18</f>
        <v>226719.87132550159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8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54812123.247809276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YeoQZEX1RWd1WncGorLmxCOhF8ChKBRXEyhL/xECqZCfS5Rd4wGGlkMJIR6ujRQjZMHKuNjMl97BYOvZhYTmtw==" saltValue="TltpWvu1vcOwm/mWUtg9Z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6"/>
      <c r="C6" s="46"/>
      <c r="D6" s="46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32911533.681845453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648357.21353235538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-359041.2778991285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-114460.81330337282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-875896.492651465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32210492.31152384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Nøgletal'!C12)^2+'Fane 6. Ikke-påvirkelige omk.'!C22+'Fane 6. Ikke-påvirkelige omk.'!C30</f>
        <v>22094665.693922698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9" t="s">
        <v>146</v>
      </c>
      <c r="C20" s="10">
        <f>'Fane 11. Periodevise driftsomk.'!E24</f>
        <v>231186.252790614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8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54536344.258237153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Bxu+scmhzmE0Cmb5qj6DO1gPbx93gx4DAMTwLDkVu/Bx0H0BXOE+NhAy3LkVO0SspVnlnMgY33cGSpKM3xrjLA==" saltValue="A77EpJJIpJ/PH0JwMm9oN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6"/>
      <c r="C6" s="46"/>
      <c r="D6" s="46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32210492.31152384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634546.69853701955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-351393.41827965196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-114381.37749894029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-867786.14659568865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31511478.067686576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Nøgletal'!C12)^3+'Fane 6. Ikke-påvirkelige omk.'!C23+'Fane 6. Ikke-påvirkelige omk.'!C31</f>
        <v>22523750.675492972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9" t="s">
        <v>146</v>
      </c>
      <c r="C20" s="10">
        <f>'Fane 11. Periodevise driftsomk.'!E30</f>
        <v>235740.62197058913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8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54270969.365150131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o9a+2qodCD40TSQZ3DjiIt3/9dSe0UTkKrPveZIkN5YIVaYf36jNHSuQq4xdN5fTSV9Un+ruYy3/cfNOBWsS4A==" saltValue="pUgmDbV1LS6Ksekd9d3a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243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33399649.950869128</v>
      </c>
      <c r="F9" s="8" t="s">
        <v>3</v>
      </c>
      <c r="G9" s="1"/>
    </row>
    <row r="10" spans="1:7" ht="15" customHeight="1" x14ac:dyDescent="0.25">
      <c r="A10" s="1"/>
      <c r="B10" s="93" t="s">
        <v>64</v>
      </c>
      <c r="C10" s="94"/>
      <c r="D10" s="95"/>
      <c r="E10" s="7">
        <v>0</v>
      </c>
      <c r="F10" s="8" t="s">
        <v>3</v>
      </c>
      <c r="G10" s="1"/>
    </row>
    <row r="11" spans="1:7" ht="15" customHeight="1" x14ac:dyDescent="0.25">
      <c r="A11" s="1"/>
      <c r="B11" s="93" t="s">
        <v>65</v>
      </c>
      <c r="C11" s="94"/>
      <c r="D11" s="95"/>
      <c r="E11" s="9">
        <v>1070610.6242</v>
      </c>
      <c r="F11" s="8" t="s">
        <v>3</v>
      </c>
      <c r="G11" s="1"/>
    </row>
    <row r="12" spans="1:7" ht="15" customHeight="1" x14ac:dyDescent="0.25">
      <c r="A12" s="1"/>
      <c r="B12" s="93" t="s">
        <v>42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602587.19368918973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-701456.95537516638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-114699.45187035018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-534482.76300300297</v>
      </c>
      <c r="F19" s="8" t="s">
        <v>3</v>
      </c>
      <c r="G19" s="1"/>
    </row>
    <row r="20" spans="1:7" ht="15" customHeight="1" x14ac:dyDescent="0.25">
      <c r="A20" s="1"/>
      <c r="B20" s="49" t="s">
        <v>29</v>
      </c>
      <c r="C20" s="50"/>
      <c r="D20" s="51"/>
      <c r="E20" s="10">
        <f>SUM(E9:E19)</f>
        <v>33722208.598509796</v>
      </c>
      <c r="F20" s="11" t="s">
        <v>3</v>
      </c>
      <c r="G20" s="1"/>
    </row>
    <row r="21" spans="1:7" ht="15" customHeight="1" x14ac:dyDescent="0.25">
      <c r="A21" s="1"/>
      <c r="B21" s="83" t="s">
        <v>145</v>
      </c>
      <c r="C21" s="84"/>
      <c r="D21" s="84"/>
      <c r="E21" s="84"/>
      <c r="F21" s="8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224464.57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-8978.5828000000001</v>
      </c>
      <c r="F23" s="8" t="s">
        <v>3</v>
      </c>
      <c r="G23" s="1"/>
    </row>
    <row r="24" spans="1:7" ht="15" customHeight="1" x14ac:dyDescent="0.25">
      <c r="A24" s="1"/>
      <c r="B24" s="86" t="s">
        <v>240</v>
      </c>
      <c r="C24" s="87"/>
      <c r="D24" s="88"/>
      <c r="E24" s="10">
        <f>SUM(E22:E23)</f>
        <v>215485.9872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6" t="s">
        <v>17</v>
      </c>
      <c r="C26" s="87"/>
      <c r="D26" s="88"/>
      <c r="E26" s="10">
        <v>18560396.734866537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89" t="s">
        <v>134</v>
      </c>
      <c r="C28" s="90"/>
      <c r="D28" s="91"/>
      <c r="E28" s="10">
        <v>-248338.97756677555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89" t="s">
        <v>19</v>
      </c>
      <c r="C30" s="90"/>
      <c r="D30" s="91"/>
      <c r="E30" s="10">
        <v>0</v>
      </c>
      <c r="F30" s="11" t="s">
        <v>3</v>
      </c>
      <c r="G30" s="1"/>
    </row>
    <row r="31" spans="1:7" x14ac:dyDescent="0.25">
      <c r="A31" s="1"/>
      <c r="B31" s="83" t="s">
        <v>24</v>
      </c>
      <c r="C31" s="84"/>
      <c r="D31" s="85"/>
      <c r="E31" s="12">
        <f>SUM(E30,E28,E26,E20,E24)</f>
        <v>52249752.343009554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A3ktyMnL3Lj5Bpj1ePTUgZVT9WFn2DnKcNhoTllZ/oOHtqDWLaQygkkUFFih2uCCZmDoEhSV8mrno2ogaRQMIA==" saltValue="R9DhNtPHmjwUpRqXqCxipA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83" t="s">
        <v>94</v>
      </c>
      <c r="C5" s="84"/>
      <c r="D5" s="84"/>
      <c r="E5" s="84"/>
      <c r="F5" s="84"/>
      <c r="G5" s="84"/>
      <c r="H5" s="8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6252587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216810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129387.94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3" t="s">
        <v>95</v>
      </c>
      <c r="C11" s="84"/>
      <c r="D11" s="84"/>
      <c r="E11" s="84"/>
      <c r="F11" s="84"/>
      <c r="G11" s="84"/>
      <c r="H11" s="8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6230355.0435499996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-474488.93666662287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220604.17500000002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119529.40563766753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3" t="s">
        <v>96</v>
      </c>
      <c r="C19" s="84"/>
      <c r="D19" s="84"/>
      <c r="E19" s="84"/>
      <c r="F19" s="84"/>
      <c r="G19" s="84"/>
      <c r="H19" s="8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5734972.5935175093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114699.45187035018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3" t="s">
        <v>97</v>
      </c>
      <c r="C25" s="84"/>
      <c r="D25" s="84"/>
      <c r="E25" s="84"/>
      <c r="F25" s="84"/>
      <c r="G25" s="84"/>
      <c r="H25" s="8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5730992.5225376086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114619.85045075217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3" t="s">
        <v>100</v>
      </c>
      <c r="C31" s="84"/>
      <c r="D31" s="84"/>
      <c r="E31" s="84"/>
      <c r="F31" s="84"/>
      <c r="G31" s="84"/>
      <c r="H31" s="8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5727015.2137269676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114540.30427453935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3" t="s">
        <v>127</v>
      </c>
      <c r="C37" s="84"/>
      <c r="D37" s="84"/>
      <c r="E37" s="84"/>
      <c r="F37" s="84"/>
      <c r="G37" s="84"/>
      <c r="H37" s="8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5723040.6651686411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114460.81330337282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3" t="s">
        <v>128</v>
      </c>
      <c r="C43" s="84"/>
      <c r="D43" s="84"/>
      <c r="E43" s="84"/>
      <c r="F43" s="84"/>
      <c r="G43" s="84"/>
      <c r="H43" s="8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5719068.8749470143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114381.37749894029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2Pv7fC30TaLZmqxDT4hqFSWvUhAag3F25JTfE3rtv3wPmoAm5UWePLSQF6NjMkTvfi/R1dwdD4oJZf08qKX7g==" saltValue="f2vrmIblgcFKL9dIs5NR6w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5"/>
      <c r="C3" s="55"/>
      <c r="D3" s="55"/>
      <c r="E3" s="55"/>
      <c r="F3" s="55"/>
      <c r="G3" s="55"/>
      <c r="H3" s="55"/>
      <c r="I3" s="1"/>
    </row>
    <row r="4" spans="1:9" x14ac:dyDescent="0.25">
      <c r="A4" s="1"/>
      <c r="B4" s="83" t="s">
        <v>98</v>
      </c>
      <c r="C4" s="84"/>
      <c r="D4" s="84"/>
      <c r="E4" s="84"/>
      <c r="F4" s="84"/>
      <c r="G4" s="84"/>
      <c r="H4" s="8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29490879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268366.99890000001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3" t="s">
        <v>106</v>
      </c>
      <c r="C9" s="84"/>
      <c r="D9" s="84"/>
      <c r="E9" s="84"/>
      <c r="F9" s="84"/>
      <c r="G9" s="84"/>
      <c r="H9" s="8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29733905.961119253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-57137.624369953985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525278.79956046259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3" t="s">
        <v>110</v>
      </c>
      <c r="C16" s="84"/>
      <c r="D16" s="84"/>
      <c r="E16" s="84"/>
      <c r="F16" s="84"/>
      <c r="G16" s="84"/>
      <c r="H16" s="8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29661640.604089648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1088703.9437489798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534482.76300300297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3" t="s">
        <v>114</v>
      </c>
      <c r="C22" s="84"/>
      <c r="D22" s="84"/>
      <c r="E22" s="84"/>
      <c r="F22" s="84"/>
      <c r="G22" s="84"/>
      <c r="H22" s="8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30811114.261996888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609494.59497227415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892345.29153792432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3" t="s">
        <v>118</v>
      </c>
      <c r="C28" s="84"/>
      <c r="D28" s="84"/>
      <c r="E28" s="84"/>
      <c r="F28" s="84"/>
      <c r="G28" s="84"/>
      <c r="H28" s="8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31129670.357670233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884082.63815783465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3" t="s">
        <v>129</v>
      </c>
      <c r="C34" s="84"/>
      <c r="D34" s="84"/>
      <c r="E34" s="84"/>
      <c r="F34" s="84"/>
      <c r="G34" s="84"/>
      <c r="H34" s="8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30841425.797586795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875896.492651465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3" t="s">
        <v>130</v>
      </c>
      <c r="C40" s="84"/>
      <c r="D40" s="84"/>
      <c r="E40" s="84"/>
      <c r="F40" s="84"/>
      <c r="G40" s="84"/>
      <c r="H40" s="8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30555850.232242554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867786.14659568865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PkW52RNjVxDvPX4eUA1fIlyQPLkIV7nTyr722Y/taYJkIvFQ4Wzf18l3rPZHeXW17jhTy2P7P5Awbbjf5ioeeA==" saltValue="A5aS7oDmeWWfLji2wiSNZg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1.9822376147379538E-2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0.02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1.0698523395634136E-2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oswEnFdEUy1dK6s9GVuqPE+Nsx8i/5/FGYdhofVxzl8UXQ2livgBzUyAeejamHGuIo53x3DU7AHtcLMu4nZlkg==" saltValue="gWqKI6Qrr8LOxVwDScHiZ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2019-10-15T08:56:56Z</dcterms:modified>
</cp:coreProperties>
</file>