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K-Spildevand AS (S07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4" i="37" l="1"/>
  <c r="C14" i="37"/>
  <c r="E36" i="27" l="1"/>
  <c r="E30" i="27"/>
  <c r="G21" i="30"/>
  <c r="E31" i="27" l="1"/>
  <c r="E19" i="40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C9" i="2" l="1"/>
  <c r="C26" i="15" l="1"/>
  <c r="F11" i="11" l="1"/>
  <c r="C10" i="37" s="1"/>
  <c r="C15" i="37" s="1"/>
  <c r="C10" i="2" s="1"/>
  <c r="G11" i="11"/>
  <c r="E11" i="21" l="1"/>
  <c r="C11" i="21"/>
  <c r="E11" i="29"/>
  <c r="C11" i="29"/>
  <c r="C16" i="19"/>
  <c r="C17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5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<sst xmlns="http://schemas.openxmlformats.org/spreadsheetml/2006/main" count="689" uniqueCount="273">
  <si>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</si>
  <si>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</si>
  <si>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</si>
  <si>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</si>
  <si>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</si>
  <si>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</si>
  <si>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</si>
  <si>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</si>
  <si>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</si>
  <si>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</si>
  <si>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</si>
  <si>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</si>
  <si>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</si>
  <si>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</si>
  <si>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</si>
  <si>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</si>
  <si>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</si>
  <si>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</si>
  <si>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</si>
  <si>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</si>
  <si>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</si>
  <si>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</si>
  <si>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</si>
  <si>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</si>
  <si>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</si>
  <si>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</si>
  <si>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</si>
  <si>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</si>
  <si>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</si>
  <si>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</si>
  <si>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</si>
  <si>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</si>
  <si>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</si>
  <si>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</si>
  <si>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</si>
  <si>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</si>
  <si>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</si>
  <si>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</si>
  <si>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</si>
  <si>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</si>
  <si>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</si>
  <si>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</si>
  <si>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</si>
  <si>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</si>
  <si>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</si>
  <si>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</si>
  <si>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</si>
  <si>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</si>
  <si>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</si>
  <si>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</si>
  <si>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</si>
  <si>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</si>
  <si>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</si>
  <si>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</si>
  <si>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</si>
  <si>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</si>
  <si>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</si>
  <si>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</si>
  <si>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</si>
  <si>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</si>
  <si>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</si>
  <si>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</si>
  <si>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</si>
  <si>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</si>
  <si>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</si>
  <si>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</si>
  <si>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</si>
  <si>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</si>
  <si>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</si>
  <si>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</si>
  <si>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</si>
  <si>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</si>
  <si>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</si>
  <si>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</si>
  <si>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</si>
  <si>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</si>
  <si>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</si>
  <si>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</si>
  <si>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</si>
  <si>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</si>
  <si>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</si>
  <si>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</si>
  <si>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</si>
  <si>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</si>
  <si>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</si>
  <si>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</si>
  <si>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</si>
  <si>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</si>
  <si>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</si>
  <si>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</si>
  <si>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</si>
  <si>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</si>
  <si>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</si>
  <si>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</si>
  <si>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</si>
  <si>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</si>
  <si>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</si>
  <si>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</si>
  <si>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</si>
  <si>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</si>
  <si>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</si>
  <si>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</si>
  <si>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</si>
  <si>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</si>
  <si>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</si>
  <si>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</si>
  <si>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</si>
  <si>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</si>
  <si>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</si>
  <si>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</si>
  <si>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</si>
  <si>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</si>
  <si>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</si>
  <si>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</si>
  <si>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</si>
  <si>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</si>
  <si>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</si>
  <si>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</si>
  <si>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</si>
  <si>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</si>
  <si>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</si>
  <si>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</si>
  <si>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</si>
  <si>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</si>
  <si>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</si>
  <si>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</si>
  <si>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</si>
  <si>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</si>
  <si>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</si>
  <si>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</si>
  <si>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</si>
  <si>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</si>
  <si>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</si>
  <si>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</si>
  <si>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</si>
  <si>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</si>
  <si>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</si>
  <si>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</si>
  <si>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</si>
  <si>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</si>
  <si>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</si>
  <si>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</si>
  <si>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</si>
  <si>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</si>
  <si>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</si>
  <si>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</si>
  <si>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</si>
  <si>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</si>
  <si>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</si>
  <si>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</si>
  <si>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</si>
  <si>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</si>
  <si>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</si>
  <si>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</si>
  <si>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</si>
  <si>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</si>
  <si>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</si>
  <si>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</si>
  <si>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</si>
  <si>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</si>
  <si>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</si>
  <si>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</si>
  <si>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</si>
  <si>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</si>
  <si>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</si>
  <si>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</si>
  <si>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</si>
  <si>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</si>
  <si>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</si>
  <si>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</si>
  <si>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</si>
  <si>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</si>
  <si>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</si>
  <si>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</si>
  <si>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</si>
  <si>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</si>
  <si>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</si>
  <si>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</si>
  <si>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</si>
  <si>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</si>
  <si>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</si>
  <si>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</si>
  <si>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</si>
  <si>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</si>
  <si>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</si>
  <si>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</si>
  <si>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</si>
  <si>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</si>
  <si>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</si>
  <si>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</si>
  <si>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</si>
  <si>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</si>
  <si>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</si>
  <si>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</si>
  <si>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</si>
  <si>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</si>
  <si>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</si>
  <si>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</si>
  <si>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</si>
  <si>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</si>
  <si>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</si>
  <si>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</si>
  <si>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</si>
  <si>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</si>
  <si>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</si>
  <si>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</si>
  <si>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</si>
  <si>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</si>
  <si>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</si>
  <si>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</si>
  <si>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</si>
  <si>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</si>
  <si>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</si>
  <si>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</si>
  <si>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</si>
  <si>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</si>
  <si>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</si>
  <si>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</si>
  <si>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</si>
  <si>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</si>
  <si>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</si>
  <si>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</si>
  <si>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</si>
  <si>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</si>
  <si>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</si>
  <si>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</si>
  <si>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</si>
  <si>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</si>
  <si>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</si>
  <si>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</si>
  <si>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</si>
  <si>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</si>
  <si>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</si>
  <si>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</si>
  <si>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</si>
  <si>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</si>
  <si>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</si>
  <si>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</si>
  <si>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</si>
  <si>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</si>
  <si>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</si>
  <si>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</si>
  <si>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</si>
  <si>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</si>
  <si>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</si>
  <si>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</si>
  <si>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</si>
  <si>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</si>
  <si>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</si>
  <si>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</si>
  <si>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</si>
  <si>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</si>
  <si>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</si>
  <si>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</si>
  <si>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</si>
  <si>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</si>
  <si>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</si>
  <si>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</si>
  <si>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</si>
  <si>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</si>
  <si>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</si>
  <si>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</si>
  <si>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</si>
  <si>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</si>
  <si>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Affaldsafgifter</t>
  </si>
  <si>
    <t>Banedanmarks Femern Bælt-projekt</t>
  </si>
  <si>
    <t>Afskærende ledninger</t>
  </si>
  <si>
    <t>Ingen engangstillæg</t>
  </si>
  <si>
    <t xml:space="preserve">Effektiviseringskrav </t>
  </si>
  <si>
    <t>Ingen anlægsprojekter</t>
  </si>
  <si>
    <t>Anlægsprojekter igangsat senest 1. marts 2016</t>
  </si>
  <si>
    <t>Videreførte omkostninger fra den økonomiske ramme for 2022</t>
  </si>
  <si>
    <t>Byggemodninger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</si>
</sst>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3" fontId="8" fillId="4" borderId="6" xfId="0" applyNumberFormat="1" applyFont="1" applyFill="1" applyBorder="1" applyProtection="1"/>
    <xf numFmtId="3" fontId="8" fillId="0" borderId="6" xfId="0" applyNumberFormat="1" applyFont="1" applyFill="1" applyBorder="1" applyProtection="1"/>
    <xf numFmtId="0" fontId="8" fillId="0" borderId="1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left"/>
    </xf>
    <xf numFmtId="0" fontId="8" fillId="0" borderId="6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72" t="s">
        <v>172</v>
      </c>
      <c r="E8" s="72"/>
      <c r="F8" s="72"/>
      <c r="G8" s="7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52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23</v>
      </c>
      <c r="D14" s="61" t="s">
        <v>54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51</v>
      </c>
      <c r="D15" s="61" t="s">
        <v>135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53</v>
      </c>
      <c r="D16" s="61" t="s">
        <v>136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241</v>
      </c>
      <c r="D17" s="61" t="s">
        <v>63</v>
      </c>
      <c r="E17" s="62"/>
      <c r="F17" s="62"/>
      <c r="G17" s="63"/>
      <c r="H17" s="1"/>
      <c r="I17" s="1"/>
    </row>
    <row r="18" spans="1:9" x14ac:dyDescent="0.25">
      <c r="A18" s="1"/>
      <c r="B18" s="1"/>
      <c r="C18" s="6" t="s">
        <v>212</v>
      </c>
      <c r="D18" s="73" t="s">
        <v>180</v>
      </c>
      <c r="E18" s="74"/>
      <c r="F18" s="74"/>
      <c r="G18" s="75"/>
      <c r="H18" s="1"/>
      <c r="I18" s="1"/>
    </row>
    <row r="19" spans="1:9" x14ac:dyDescent="0.25">
      <c r="A19" s="1"/>
      <c r="B19" s="1"/>
      <c r="C19" s="6" t="s">
        <v>213</v>
      </c>
      <c r="D19" s="73" t="s">
        <v>181</v>
      </c>
      <c r="E19" s="74"/>
      <c r="F19" s="74"/>
      <c r="G19" s="75"/>
      <c r="H19" s="1"/>
      <c r="I19" s="1"/>
    </row>
    <row r="20" spans="1:9" x14ac:dyDescent="0.25">
      <c r="A20" s="1"/>
      <c r="B20" s="1"/>
      <c r="C20" s="6" t="s">
        <v>7</v>
      </c>
      <c r="D20" s="73" t="s">
        <v>10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214</v>
      </c>
      <c r="D21" s="65" t="s">
        <v>17</v>
      </c>
      <c r="E21" s="66"/>
      <c r="F21" s="66"/>
      <c r="G21" s="67"/>
      <c r="H21" s="1"/>
      <c r="I21" s="1"/>
    </row>
    <row r="22" spans="1:9" x14ac:dyDescent="0.25">
      <c r="A22" s="1"/>
      <c r="B22" s="1"/>
      <c r="C22" s="6" t="s">
        <v>142</v>
      </c>
      <c r="D22" s="68" t="s">
        <v>176</v>
      </c>
      <c r="E22" s="69"/>
      <c r="F22" s="69"/>
      <c r="G22" s="70"/>
      <c r="H22" s="1"/>
      <c r="I22" s="1"/>
    </row>
    <row r="23" spans="1:9" x14ac:dyDescent="0.25">
      <c r="A23" s="1"/>
      <c r="B23" s="1"/>
      <c r="C23" s="6" t="s">
        <v>8</v>
      </c>
      <c r="D23" s="68" t="s">
        <v>249</v>
      </c>
      <c r="E23" s="69"/>
      <c r="F23" s="69"/>
      <c r="G23" s="70"/>
      <c r="H23" s="1"/>
      <c r="I23" s="1"/>
    </row>
    <row r="24" spans="1:9" x14ac:dyDescent="0.25">
      <c r="A24" s="1"/>
      <c r="B24" s="1"/>
      <c r="C24" s="6" t="s">
        <v>9</v>
      </c>
      <c r="D24" s="68" t="s">
        <v>55</v>
      </c>
      <c r="E24" s="69"/>
      <c r="F24" s="69"/>
      <c r="G24" s="70"/>
      <c r="H24" s="1"/>
      <c r="I24" s="1"/>
    </row>
    <row r="25" spans="1:9" x14ac:dyDescent="0.25">
      <c r="A25" s="1"/>
      <c r="B25" s="1"/>
      <c r="C25" s="6" t="s">
        <v>215</v>
      </c>
      <c r="D25" s="68" t="s">
        <v>143</v>
      </c>
      <c r="E25" s="69"/>
      <c r="F25" s="69"/>
      <c r="G25" s="70"/>
      <c r="H25" s="1"/>
      <c r="I25" s="1"/>
    </row>
    <row r="26" spans="1:9" x14ac:dyDescent="0.25">
      <c r="A26" s="1"/>
      <c r="B26" s="1"/>
      <c r="C26" s="6" t="s">
        <v>216</v>
      </c>
      <c r="D26" s="68" t="s">
        <v>144</v>
      </c>
      <c r="E26" s="69"/>
      <c r="F26" s="69"/>
      <c r="G26" s="70"/>
      <c r="H26" s="1"/>
      <c r="I26" s="1"/>
    </row>
    <row r="27" spans="1:9" x14ac:dyDescent="0.25">
      <c r="A27" s="1"/>
      <c r="B27" s="1"/>
      <c r="C27" s="6" t="s">
        <v>217</v>
      </c>
      <c r="D27" s="68" t="s">
        <v>145</v>
      </c>
      <c r="E27" s="69"/>
      <c r="F27" s="69"/>
      <c r="G27" s="70"/>
      <c r="H27" s="1"/>
      <c r="I27" s="1"/>
    </row>
    <row r="28" spans="1:9" x14ac:dyDescent="0.25">
      <c r="A28" s="1"/>
      <c r="B28" s="1"/>
      <c r="C28" s="6" t="s">
        <v>22</v>
      </c>
      <c r="D28" s="68" t="s">
        <v>56</v>
      </c>
      <c r="E28" s="69"/>
      <c r="F28" s="69"/>
      <c r="G28" s="70"/>
      <c r="H28" s="1"/>
      <c r="I28" s="1"/>
    </row>
    <row r="29" spans="1:9" x14ac:dyDescent="0.25">
      <c r="A29" s="1"/>
      <c r="B29" s="1"/>
      <c r="C29" s="6" t="s">
        <v>58</v>
      </c>
      <c r="D29" s="68" t="s">
        <v>57</v>
      </c>
      <c r="E29" s="69"/>
      <c r="F29" s="69"/>
      <c r="G29" s="70"/>
      <c r="H29" s="1"/>
      <c r="I29" s="1"/>
    </row>
    <row r="30" spans="1:9" x14ac:dyDescent="0.25">
      <c r="A30" s="1"/>
      <c r="B30" s="1"/>
      <c r="C30" s="6" t="s">
        <v>59</v>
      </c>
      <c r="D30" s="79" t="s">
        <v>11</v>
      </c>
      <c r="E30" s="80"/>
      <c r="F30" s="80"/>
      <c r="G30" s="81"/>
      <c r="H30" s="1"/>
      <c r="I30" s="1"/>
    </row>
    <row r="31" spans="1:9" x14ac:dyDescent="0.25">
      <c r="A31" s="1"/>
      <c r="B31" s="1"/>
      <c r="C31" s="6" t="s">
        <v>175</v>
      </c>
      <c r="D31" s="76" t="s">
        <v>207</v>
      </c>
      <c r="E31" s="77"/>
      <c r="F31" s="77"/>
      <c r="G31" s="78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TBDvRLMfxT9zHRgiNO2IgqbsJdjbPjZ4KdtC1VaOR0r4gXHfozBt1A09vpaoZKlNJRCmcl2ctFSCdieAwOmFHQ==" saltValue="5+wCxCk7/NlmtTPihaQxYg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2" t="s">
        <v>220</v>
      </c>
      <c r="C3" s="82"/>
      <c r="D3" s="82"/>
      <c r="E3" s="1"/>
      <c r="F3" s="1"/>
    </row>
    <row r="4" spans="1:6" ht="15" customHeight="1" x14ac:dyDescent="0.25">
      <c r="A4" s="1"/>
      <c r="B4" s="82"/>
      <c r="C4" s="82"/>
      <c r="D4" s="8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7" t="s">
        <v>66</v>
      </c>
      <c r="C8" s="98"/>
      <c r="D8" s="99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8" t="s">
        <v>259</v>
      </c>
      <c r="C10" s="9">
        <v>2391892</v>
      </c>
      <c r="D10" s="14" t="s">
        <v>3</v>
      </c>
      <c r="E10" s="1"/>
      <c r="F10" s="1"/>
    </row>
    <row r="11" spans="1:6" x14ac:dyDescent="0.25">
      <c r="A11" s="1"/>
      <c r="B11" s="58" t="s">
        <v>260</v>
      </c>
      <c r="C11" s="9">
        <v>59390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260055</v>
      </c>
      <c r="D12" s="14" t="s">
        <v>3</v>
      </c>
      <c r="E12" s="1"/>
      <c r="F12" s="1"/>
    </row>
    <row r="13" spans="1:6" x14ac:dyDescent="0.25">
      <c r="A13" s="1"/>
      <c r="B13" s="58" t="s">
        <v>262</v>
      </c>
      <c r="C13" s="9">
        <v>609521</v>
      </c>
      <c r="D13" s="14" t="s">
        <v>3</v>
      </c>
      <c r="E13" s="1"/>
      <c r="F13" s="1"/>
    </row>
    <row r="14" spans="1:6" x14ac:dyDescent="0.25">
      <c r="A14" s="1"/>
      <c r="B14" s="58" t="s">
        <v>263</v>
      </c>
      <c r="C14" s="9">
        <v>949391</v>
      </c>
      <c r="D14" s="14" t="s">
        <v>3</v>
      </c>
      <c r="E14" s="1"/>
      <c r="F14" s="1"/>
    </row>
    <row r="15" spans="1:6" x14ac:dyDescent="0.25">
      <c r="A15" s="1"/>
      <c r="B15" s="58" t="s">
        <v>264</v>
      </c>
      <c r="C15" s="9">
        <v>28340</v>
      </c>
      <c r="D15" s="14" t="s">
        <v>3</v>
      </c>
      <c r="E15" s="1"/>
      <c r="F15" s="1"/>
    </row>
    <row r="16" spans="1:6" x14ac:dyDescent="0.25">
      <c r="A16" s="1"/>
      <c r="B16" s="40" t="s">
        <v>68</v>
      </c>
      <c r="C16" s="12">
        <f>SUM(C10:C15)</f>
        <v>4298589</v>
      </c>
      <c r="D16" s="13" t="s">
        <v>3</v>
      </c>
      <c r="E16" s="1"/>
      <c r="F16" s="1"/>
    </row>
    <row r="17" spans="1:6" x14ac:dyDescent="0.25">
      <c r="A17" s="1"/>
      <c r="B17" s="40" t="s">
        <v>69</v>
      </c>
      <c r="C17" s="12">
        <f>C16*(1+'Fane 15. Nøgletal'!C12)^2</f>
        <v>4469621.6460050102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97" t="s">
        <v>236</v>
      </c>
      <c r="C20" s="98"/>
      <c r="D20" s="99"/>
      <c r="E20" s="1"/>
      <c r="F20" s="1"/>
    </row>
    <row r="21" spans="1:6" x14ac:dyDescent="0.25">
      <c r="A21" s="1"/>
      <c r="B21" s="58" t="s">
        <v>197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8" t="s">
        <v>198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8" t="s">
        <v>199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58" t="s">
        <v>200</v>
      </c>
      <c r="C24" s="9">
        <v>0</v>
      </c>
      <c r="D24" s="14" t="s">
        <v>3</v>
      </c>
      <c r="E24" s="1"/>
      <c r="F24" s="1"/>
    </row>
    <row r="25" spans="1:6" x14ac:dyDescent="0.25">
      <c r="A25" s="1"/>
      <c r="B25" s="97"/>
      <c r="C25" s="98"/>
      <c r="D25" s="99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97" t="s">
        <v>196</v>
      </c>
      <c r="C28" s="98"/>
      <c r="D28" s="99"/>
      <c r="E28" s="1"/>
      <c r="F28" s="1"/>
    </row>
    <row r="29" spans="1:6" x14ac:dyDescent="0.25">
      <c r="A29" s="1"/>
      <c r="B29" s="58" t="s">
        <v>197</v>
      </c>
      <c r="C29" s="9">
        <v>1810197</v>
      </c>
      <c r="D29" s="14" t="s">
        <v>3</v>
      </c>
      <c r="E29" s="1"/>
      <c r="F29" s="1"/>
    </row>
    <row r="30" spans="1:6" x14ac:dyDescent="0.25">
      <c r="A30" s="1"/>
      <c r="B30" s="58" t="s">
        <v>198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8" t="s">
        <v>199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58" t="s">
        <v>200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97"/>
      <c r="C33" s="98"/>
      <c r="D33" s="99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uV0gO36TGNzAVXCguMN7TCt3TTCGwyTTb50KaM40qViHZ2WCR43s3rkE8XBi7FjsG0MxgodVC4pwQ019MEGwXA==" saltValue="QL6jCK69/InMM5rfWCp0aA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7" t="s">
        <v>226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ht="15" customHeight="1" x14ac:dyDescent="0.25">
      <c r="A5" s="1"/>
      <c r="B5" s="56"/>
      <c r="C5" s="56"/>
      <c r="D5" s="56"/>
      <c r="E5" s="56"/>
      <c r="F5" s="56"/>
      <c r="G5" s="1"/>
    </row>
    <row r="6" spans="1:7" ht="15" customHeight="1" x14ac:dyDescent="0.25">
      <c r="A6" s="1"/>
      <c r="B6" s="56"/>
      <c r="C6" s="56"/>
      <c r="D6" s="56"/>
      <c r="E6" s="56"/>
      <c r="F6" s="5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183</v>
      </c>
      <c r="C8" s="98"/>
      <c r="D8" s="98"/>
      <c r="E8" s="98"/>
      <c r="F8" s="99"/>
      <c r="G8" s="1"/>
    </row>
    <row r="9" spans="1:7" x14ac:dyDescent="0.25">
      <c r="A9" s="1"/>
      <c r="B9" s="103" t="s">
        <v>184</v>
      </c>
      <c r="C9" s="104"/>
      <c r="D9" s="105"/>
      <c r="E9" s="9">
        <v>169004772.70883656</v>
      </c>
      <c r="F9" s="14" t="s">
        <v>3</v>
      </c>
      <c r="G9" s="1"/>
    </row>
    <row r="10" spans="1:7" x14ac:dyDescent="0.25">
      <c r="A10" s="1"/>
      <c r="B10" s="103" t="s">
        <v>185</v>
      </c>
      <c r="C10" s="104"/>
      <c r="D10" s="105"/>
      <c r="E10" s="9">
        <v>143788607</v>
      </c>
      <c r="F10" s="14" t="s">
        <v>3</v>
      </c>
      <c r="G10" s="1"/>
    </row>
    <row r="11" spans="1:7" x14ac:dyDescent="0.25">
      <c r="A11" s="1"/>
      <c r="B11" s="103" t="s">
        <v>50</v>
      </c>
      <c r="C11" s="104"/>
      <c r="D11" s="105"/>
      <c r="E11" s="9">
        <v>0</v>
      </c>
      <c r="F11" s="14" t="s">
        <v>3</v>
      </c>
      <c r="G11" s="1"/>
    </row>
    <row r="12" spans="1:7" x14ac:dyDescent="0.25">
      <c r="A12" s="1"/>
      <c r="B12" s="91" t="s">
        <v>186</v>
      </c>
      <c r="C12" s="92"/>
      <c r="D12" s="93"/>
      <c r="E12" s="10">
        <f>E9-(E10-E11)</f>
        <v>25216165.708836555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4" t="s">
        <v>208</v>
      </c>
      <c r="C14" s="85"/>
      <c r="D14" s="85"/>
      <c r="E14" s="85"/>
      <c r="F14" s="86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7" t="s">
        <v>73</v>
      </c>
      <c r="C17" s="98"/>
      <c r="D17" s="98"/>
      <c r="E17" s="98"/>
      <c r="F17" s="99"/>
      <c r="G17" s="1"/>
    </row>
    <row r="18" spans="1:7" x14ac:dyDescent="0.25">
      <c r="A18" s="1"/>
      <c r="B18" s="103" t="s">
        <v>74</v>
      </c>
      <c r="C18" s="104"/>
      <c r="D18" s="105"/>
      <c r="E18" s="9">
        <v>162017511.71470854</v>
      </c>
      <c r="F18" s="14" t="s">
        <v>3</v>
      </c>
      <c r="G18" s="1"/>
    </row>
    <row r="19" spans="1:7" x14ac:dyDescent="0.25">
      <c r="A19" s="1"/>
      <c r="B19" s="103" t="s">
        <v>75</v>
      </c>
      <c r="C19" s="104"/>
      <c r="D19" s="105"/>
      <c r="E19" s="9">
        <v>148381650</v>
      </c>
      <c r="F19" s="14" t="s">
        <v>3</v>
      </c>
      <c r="G19" s="1"/>
    </row>
    <row r="20" spans="1:7" x14ac:dyDescent="0.25">
      <c r="A20" s="1"/>
      <c r="B20" s="103" t="s">
        <v>50</v>
      </c>
      <c r="C20" s="104"/>
      <c r="D20" s="105"/>
      <c r="E20" s="9">
        <v>0</v>
      </c>
      <c r="F20" s="14" t="s">
        <v>3</v>
      </c>
      <c r="G20" s="1"/>
    </row>
    <row r="21" spans="1:7" x14ac:dyDescent="0.25">
      <c r="A21" s="1"/>
      <c r="B21" s="91" t="s">
        <v>76</v>
      </c>
      <c r="C21" s="92"/>
      <c r="D21" s="93"/>
      <c r="E21" s="10">
        <f>E18-(E19-E20)</f>
        <v>13635861.714708537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7" t="s">
        <v>179</v>
      </c>
      <c r="C25" s="98"/>
      <c r="D25" s="98"/>
      <c r="E25" s="98"/>
      <c r="F25" s="99"/>
      <c r="G25" s="1"/>
    </row>
    <row r="26" spans="1:7" x14ac:dyDescent="0.25">
      <c r="A26" s="1"/>
      <c r="B26" s="111" t="s">
        <v>174</v>
      </c>
      <c r="C26" s="112"/>
      <c r="D26" s="113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11" t="s">
        <v>204</v>
      </c>
      <c r="C27" s="112"/>
      <c r="D27" s="113"/>
      <c r="E27" s="9">
        <v>2</v>
      </c>
      <c r="F27" s="14" t="s">
        <v>28</v>
      </c>
      <c r="G27" s="1"/>
    </row>
    <row r="28" spans="1:7" x14ac:dyDescent="0.25">
      <c r="A28" s="1"/>
      <c r="B28" s="91" t="s">
        <v>251</v>
      </c>
      <c r="C28" s="92"/>
      <c r="D28" s="93"/>
      <c r="E28" s="10">
        <f>E26/E27</f>
        <v>0</v>
      </c>
      <c r="F28" s="17" t="s">
        <v>3</v>
      </c>
      <c r="G28" s="1"/>
    </row>
    <row r="29" spans="1:7" x14ac:dyDescent="0.25">
      <c r="A29" s="1"/>
      <c r="B29" s="114"/>
      <c r="C29" s="115"/>
      <c r="D29" s="115"/>
      <c r="E29" s="115"/>
      <c r="F29" s="116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2rawb1gHGBj3bnOqEI2TNTqottc0ZfOTj76/hj8cWsfos4uJwbF8tXrwL+TA54KakKFe0QzYjmKG/Oy8ApI/A==" saltValue="YvH3lNR/ozo39jNvgQumpA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7" t="s">
        <v>252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7" t="s">
        <v>177</v>
      </c>
      <c r="C9" s="98"/>
      <c r="D9" s="98"/>
      <c r="E9" s="98"/>
      <c r="F9" s="98"/>
      <c r="G9" s="1"/>
    </row>
    <row r="10" spans="1:7" x14ac:dyDescent="0.25">
      <c r="A10" s="1"/>
      <c r="B10" s="84" t="s">
        <v>201</v>
      </c>
      <c r="C10" s="85"/>
      <c r="D10" s="86"/>
      <c r="E10" s="7">
        <v>0</v>
      </c>
      <c r="F10" s="8" t="s">
        <v>3</v>
      </c>
      <c r="G10" s="1"/>
    </row>
    <row r="11" spans="1:7" x14ac:dyDescent="0.25">
      <c r="A11" s="1"/>
      <c r="B11" s="103" t="s">
        <v>202</v>
      </c>
      <c r="C11" s="104"/>
      <c r="D11" s="105"/>
      <c r="E11" s="7">
        <v>0</v>
      </c>
      <c r="F11" s="8" t="s">
        <v>3</v>
      </c>
      <c r="G11" s="1"/>
    </row>
    <row r="12" spans="1:7" x14ac:dyDescent="0.25">
      <c r="A12" s="1"/>
      <c r="B12" s="91" t="s">
        <v>203</v>
      </c>
      <c r="C12" s="92"/>
      <c r="D12" s="93"/>
      <c r="E12" s="10">
        <f>E11-E10</f>
        <v>0</v>
      </c>
      <c r="F12" s="11" t="s">
        <v>3</v>
      </c>
      <c r="G12" s="1"/>
    </row>
    <row r="13" spans="1:7" x14ac:dyDescent="0.25">
      <c r="A13" s="1"/>
      <c r="B13" s="97" t="s">
        <v>178</v>
      </c>
      <c r="C13" s="98"/>
      <c r="D13" s="98"/>
      <c r="E13" s="98"/>
      <c r="F13" s="98"/>
      <c r="G13" s="1"/>
    </row>
    <row r="14" spans="1:7" x14ac:dyDescent="0.25">
      <c r="A14" s="1"/>
      <c r="B14" s="103" t="s">
        <v>210</v>
      </c>
      <c r="C14" s="104"/>
      <c r="D14" s="105"/>
      <c r="E14" s="9">
        <v>0</v>
      </c>
      <c r="F14" s="8" t="s">
        <v>3</v>
      </c>
      <c r="G14" s="1"/>
    </row>
    <row r="15" spans="1:7" x14ac:dyDescent="0.25">
      <c r="A15" s="1"/>
      <c r="B15" s="84" t="s">
        <v>211</v>
      </c>
      <c r="C15" s="85"/>
      <c r="D15" s="86"/>
      <c r="E15" s="9">
        <v>0</v>
      </c>
      <c r="F15" s="8" t="s">
        <v>3</v>
      </c>
      <c r="G15" s="1"/>
    </row>
    <row r="16" spans="1:7" x14ac:dyDescent="0.25">
      <c r="A16" s="1"/>
      <c r="B16" s="91" t="s">
        <v>203</v>
      </c>
      <c r="C16" s="92"/>
      <c r="D16" s="93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7" t="s">
        <v>173</v>
      </c>
      <c r="C17" s="98"/>
      <c r="D17" s="98"/>
      <c r="E17" s="98"/>
      <c r="F17" s="98"/>
      <c r="G17" s="1"/>
    </row>
    <row r="18" spans="1:7" ht="28.15" customHeight="1" x14ac:dyDescent="0.25">
      <c r="A18" s="1"/>
      <c r="B18" s="84" t="s">
        <v>258</v>
      </c>
      <c r="C18" s="85"/>
      <c r="D18" s="86"/>
      <c r="E18" s="9">
        <v>0</v>
      </c>
      <c r="F18" s="8" t="s">
        <v>3</v>
      </c>
      <c r="G18" s="1"/>
    </row>
    <row r="19" spans="1:7" ht="29.25" customHeight="1" x14ac:dyDescent="0.25">
      <c r="A19" s="1"/>
      <c r="B19" s="94" t="s">
        <v>182</v>
      </c>
      <c r="C19" s="95"/>
      <c r="D19" s="96"/>
      <c r="E19" s="10">
        <f>IF('Fane 3. Omkostninger i ØR2019'!E33-'Fane 3. Omkostninger i ØR2019'!E33/(1+'Fane 15. Nøgletal'!C11)^2+E18&lt;0,-('Fane 3. Omkostninger i ØR2019'!E33-'Fane 3. Omkostninger i ØR2019'!E33/(1+'Fane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surgvFJ7/CHRYGgF2xfiYP32I1pw1GPxYMt2S4/P5GCKaxuTF3Mu9upEecAdQ1i4XDwl2+PPZ9t1XnpVBqP0Q==" saltValue="j3pYOVrupVuNxFyNeR3BE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253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254</v>
      </c>
      <c r="C8" s="98"/>
      <c r="D8" s="98"/>
      <c r="E8" s="98"/>
      <c r="F8" s="98"/>
      <c r="G8" s="98"/>
      <c r="H8" s="99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60" t="s">
        <v>269</v>
      </c>
      <c r="C10" s="48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7" t="s">
        <v>255</v>
      </c>
      <c r="C11" s="98"/>
      <c r="D11" s="99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HSZ+DkA+suFDKiF2NZeYmlbmYlYPIo9CrHdOROVYCUFgoHDvGWGQkr3jFW4/oc4RrJP4b129RA+UGundaORPoQ==" saltValue="YbXpozPYMzGFgYA3MUBw/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4" t="s">
        <v>25</v>
      </c>
      <c r="C9" s="54" t="s">
        <v>16</v>
      </c>
      <c r="D9" s="55"/>
      <c r="E9" s="54" t="s">
        <v>48</v>
      </c>
      <c r="F9" s="39"/>
      <c r="G9" s="1"/>
    </row>
    <row r="10" spans="1:7" x14ac:dyDescent="0.25">
      <c r="A10" s="1"/>
      <c r="B10" s="27" t="s">
        <v>270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9" t="s">
        <v>265</v>
      </c>
      <c r="C11" s="24">
        <v>0</v>
      </c>
      <c r="D11" s="14" t="s">
        <v>3</v>
      </c>
      <c r="E11" s="9">
        <v>11474</v>
      </c>
      <c r="F11" s="14" t="s">
        <v>3</v>
      </c>
      <c r="G11" s="1"/>
    </row>
    <row r="12" spans="1:7" x14ac:dyDescent="0.25">
      <c r="A12" s="1"/>
      <c r="B12" s="27" t="s">
        <v>266</v>
      </c>
      <c r="C12" s="24">
        <v>0</v>
      </c>
      <c r="D12" s="14" t="s">
        <v>3</v>
      </c>
      <c r="E12" s="9">
        <v>564758</v>
      </c>
      <c r="F12" s="14" t="s">
        <v>3</v>
      </c>
      <c r="G12" s="1"/>
    </row>
    <row r="13" spans="1:7" x14ac:dyDescent="0.25">
      <c r="A13" s="1"/>
      <c r="B13" s="27" t="s">
        <v>272</v>
      </c>
      <c r="C13" s="24">
        <v>60647</v>
      </c>
      <c r="D13" s="14" t="s">
        <v>3</v>
      </c>
      <c r="E13" s="9">
        <v>107467</v>
      </c>
      <c r="F13" s="14" t="s">
        <v>3</v>
      </c>
      <c r="G13" s="1"/>
    </row>
    <row r="14" spans="1:7" x14ac:dyDescent="0.25">
      <c r="A14" s="1"/>
      <c r="B14" s="40" t="s">
        <v>60</v>
      </c>
      <c r="C14" s="12">
        <f>SUM(C10:C13)</f>
        <v>60647</v>
      </c>
      <c r="D14" s="13" t="s">
        <v>3</v>
      </c>
      <c r="E14" s="12">
        <f>SUM(E10:E13)</f>
        <v>683699</v>
      </c>
      <c r="F14" s="13" t="s">
        <v>3</v>
      </c>
      <c r="G14" s="1"/>
    </row>
    <row r="15" spans="1:7" x14ac:dyDescent="0.25">
      <c r="A15" s="1"/>
      <c r="B15" s="40" t="s">
        <v>70</v>
      </c>
      <c r="C15" s="12">
        <f>C14*(1+'Fane 15. Nøgletal'!C12)</f>
        <v>61841.745900000002</v>
      </c>
      <c r="D15" s="13" t="s">
        <v>3</v>
      </c>
      <c r="E15" s="12">
        <f>E14*(1+'Fane 15. Nøgletal'!C12)</f>
        <v>697167.87030000007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68TDRnTBCS+23ju/wgl68fnQ9iGi6WPlhOxMZEuBbpeJPSSk/ao31qOQt/mkhbsqSEmHw+hMKaPuCcJ1hFM0Vw==" saltValue="EwnOTGObqcLjAttHbVaWt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224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187</v>
      </c>
      <c r="C8" s="98"/>
      <c r="D8" s="98"/>
      <c r="E8" s="98"/>
      <c r="F8" s="99"/>
      <c r="G8" s="1"/>
    </row>
    <row r="9" spans="1:7" x14ac:dyDescent="0.25">
      <c r="A9" s="1"/>
      <c r="B9" s="54" t="s">
        <v>25</v>
      </c>
      <c r="C9" s="54" t="s">
        <v>16</v>
      </c>
      <c r="D9" s="55"/>
      <c r="E9" s="54" t="s">
        <v>48</v>
      </c>
      <c r="F9" s="39"/>
      <c r="G9" s="1"/>
    </row>
    <row r="10" spans="1:7" x14ac:dyDescent="0.25">
      <c r="A10" s="1"/>
      <c r="B10" s="27" t="s">
        <v>267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7" t="s">
        <v>188</v>
      </c>
      <c r="C16" s="98"/>
      <c r="D16" s="98"/>
      <c r="E16" s="98"/>
      <c r="F16" s="99"/>
      <c r="G16" s="1"/>
    </row>
    <row r="17" spans="1:7" x14ac:dyDescent="0.25">
      <c r="A17" s="1"/>
      <c r="B17" s="54" t="s">
        <v>25</v>
      </c>
      <c r="C17" s="54" t="s">
        <v>16</v>
      </c>
      <c r="D17" s="55"/>
      <c r="E17" s="54" t="s">
        <v>48</v>
      </c>
      <c r="F17" s="39"/>
      <c r="G17" s="1"/>
    </row>
    <row r="18" spans="1:7" x14ac:dyDescent="0.25">
      <c r="A18" s="1"/>
      <c r="B18" s="27" t="s">
        <v>267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7" t="s">
        <v>189</v>
      </c>
      <c r="C24" s="98"/>
      <c r="D24" s="98"/>
      <c r="E24" s="98"/>
      <c r="F24" s="99"/>
      <c r="G24" s="1"/>
    </row>
    <row r="25" spans="1:7" x14ac:dyDescent="0.25">
      <c r="A25" s="1"/>
      <c r="B25" s="54" t="s">
        <v>25</v>
      </c>
      <c r="C25" s="54" t="s">
        <v>16</v>
      </c>
      <c r="D25" s="55"/>
      <c r="E25" s="54" t="s">
        <v>48</v>
      </c>
      <c r="F25" s="39"/>
      <c r="G25" s="1"/>
    </row>
    <row r="26" spans="1:7" x14ac:dyDescent="0.25">
      <c r="A26" s="1"/>
      <c r="B26" s="27" t="s">
        <v>267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7" t="s">
        <v>190</v>
      </c>
      <c r="C32" s="98"/>
      <c r="D32" s="98"/>
      <c r="E32" s="98"/>
      <c r="F32" s="99"/>
      <c r="G32" s="1"/>
    </row>
    <row r="33" spans="1:7" x14ac:dyDescent="0.25">
      <c r="A33" s="1"/>
      <c r="B33" s="54" t="s">
        <v>25</v>
      </c>
      <c r="C33" s="54" t="s">
        <v>16</v>
      </c>
      <c r="D33" s="55"/>
      <c r="E33" s="54" t="s">
        <v>48</v>
      </c>
      <c r="F33" s="39"/>
      <c r="G33" s="1"/>
    </row>
    <row r="34" spans="1:7" x14ac:dyDescent="0.25">
      <c r="A34" s="1"/>
      <c r="B34" s="27" t="s">
        <v>267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hHN3H7MHvEs1XMFOBM/8sFoFxAApEob4GAYn4JUPenVO2kJXGnT+HOiwAgJ5iizytvUuIF8korAYosL/6bRlw==" saltValue="+ThdWVKelTOzoJJHC8JLt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227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7"/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160</v>
      </c>
      <c r="C8" s="98"/>
      <c r="D8" s="98"/>
      <c r="E8" s="98"/>
      <c r="F8" s="99"/>
      <c r="G8" s="1"/>
    </row>
    <row r="9" spans="1:7" x14ac:dyDescent="0.25">
      <c r="A9" s="1"/>
      <c r="B9" s="117" t="s">
        <v>159</v>
      </c>
      <c r="C9" s="118"/>
      <c r="D9" s="119"/>
      <c r="E9" s="9">
        <v>0</v>
      </c>
      <c r="F9" s="14" t="s">
        <v>3</v>
      </c>
      <c r="G9" s="1"/>
    </row>
    <row r="10" spans="1:7" x14ac:dyDescent="0.25">
      <c r="A10" s="1"/>
      <c r="B10" s="88" t="s">
        <v>10</v>
      </c>
      <c r="C10" s="89"/>
      <c r="D10" s="90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8" t="s">
        <v>39</v>
      </c>
      <c r="C11" s="89"/>
      <c r="D11" s="90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7" t="s">
        <v>164</v>
      </c>
      <c r="C12" s="98"/>
      <c r="D12" s="99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7" t="s">
        <v>161</v>
      </c>
      <c r="C14" s="98"/>
      <c r="D14" s="98"/>
      <c r="E14" s="98"/>
      <c r="F14" s="99"/>
      <c r="G14" s="1"/>
    </row>
    <row r="15" spans="1:7" x14ac:dyDescent="0.25">
      <c r="A15" s="1"/>
      <c r="B15" s="117" t="s">
        <v>159</v>
      </c>
      <c r="C15" s="118"/>
      <c r="D15" s="119"/>
      <c r="E15" s="9">
        <v>0</v>
      </c>
      <c r="F15" s="14" t="s">
        <v>3</v>
      </c>
      <c r="G15" s="1"/>
    </row>
    <row r="16" spans="1:7" x14ac:dyDescent="0.25">
      <c r="A16" s="1"/>
      <c r="B16" s="88" t="s">
        <v>10</v>
      </c>
      <c r="C16" s="89"/>
      <c r="D16" s="90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8" t="s">
        <v>39</v>
      </c>
      <c r="C17" s="89"/>
      <c r="D17" s="90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7" t="s">
        <v>165</v>
      </c>
      <c r="C18" s="98"/>
      <c r="D18" s="99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7" t="s">
        <v>162</v>
      </c>
      <c r="C20" s="98"/>
      <c r="D20" s="98"/>
      <c r="E20" s="98"/>
      <c r="F20" s="99"/>
      <c r="G20" s="1"/>
    </row>
    <row r="21" spans="1:7" x14ac:dyDescent="0.25">
      <c r="A21" s="1"/>
      <c r="B21" s="117" t="s">
        <v>159</v>
      </c>
      <c r="C21" s="118"/>
      <c r="D21" s="119"/>
      <c r="E21" s="9">
        <v>0</v>
      </c>
      <c r="F21" s="14" t="s">
        <v>3</v>
      </c>
      <c r="G21" s="1"/>
    </row>
    <row r="22" spans="1:7" x14ac:dyDescent="0.25">
      <c r="A22" s="1"/>
      <c r="B22" s="88" t="s">
        <v>10</v>
      </c>
      <c r="C22" s="89"/>
      <c r="D22" s="90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8" t="s">
        <v>39</v>
      </c>
      <c r="C23" s="89"/>
      <c r="D23" s="90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7" t="s">
        <v>166</v>
      </c>
      <c r="C24" s="98"/>
      <c r="D24" s="99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7" t="s">
        <v>163</v>
      </c>
      <c r="C26" s="98"/>
      <c r="D26" s="98"/>
      <c r="E26" s="98"/>
      <c r="F26" s="99"/>
      <c r="G26" s="1"/>
    </row>
    <row r="27" spans="1:7" x14ac:dyDescent="0.25">
      <c r="A27" s="1"/>
      <c r="B27" s="117" t="s">
        <v>159</v>
      </c>
      <c r="C27" s="118"/>
      <c r="D27" s="119"/>
      <c r="E27" s="9">
        <v>0</v>
      </c>
      <c r="F27" s="14" t="s">
        <v>3</v>
      </c>
      <c r="G27" s="1"/>
    </row>
    <row r="28" spans="1:7" x14ac:dyDescent="0.25">
      <c r="A28" s="1"/>
      <c r="B28" s="88" t="s">
        <v>10</v>
      </c>
      <c r="C28" s="89"/>
      <c r="D28" s="90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8" t="s">
        <v>39</v>
      </c>
      <c r="C29" s="89"/>
      <c r="D29" s="90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7" t="s">
        <v>167</v>
      </c>
      <c r="C30" s="98"/>
      <c r="D30" s="99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iPu4qZd8qkb2svnyc0nDA675QweYDtUYxwlj3KH14Fe1Kod8tQszMN4dLpLS8+sXR+B/wGc/9tQADXhLqKpCQ==" saltValue="bdZhavfKS1doawUtuU8Pl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223</v>
      </c>
      <c r="C3" s="87"/>
      <c r="D3" s="87"/>
      <c r="E3" s="87"/>
      <c r="F3" s="87"/>
      <c r="G3" s="1"/>
    </row>
    <row r="4" spans="1:7" ht="25.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32</v>
      </c>
      <c r="C8" s="98"/>
      <c r="D8" s="98"/>
      <c r="E8" s="98"/>
      <c r="F8" s="99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wqzG3QpwwMKVL64YDKusOVBffRmfKWK6lL5Cmul7KmiJsIORrTS2Ri6RpLNaGiSJLC3g4eer2pXmNZHKN1oo4Q==" saltValue="dZs1iDof0e4UR83YJwmrF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222</v>
      </c>
      <c r="C3" s="87"/>
      <c r="D3" s="87"/>
      <c r="E3" s="87"/>
      <c r="F3" s="87"/>
      <c r="G3" s="1"/>
    </row>
    <row r="4" spans="1:7" ht="25.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169</v>
      </c>
      <c r="C8" s="98"/>
      <c r="D8" s="98"/>
      <c r="E8" s="98"/>
      <c r="F8" s="99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7" t="s">
        <v>170</v>
      </c>
      <c r="C14" s="98"/>
      <c r="D14" s="98"/>
      <c r="E14" s="98"/>
      <c r="F14" s="99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7" t="s">
        <v>168</v>
      </c>
      <c r="C20" s="98"/>
      <c r="D20" s="98"/>
      <c r="E20" s="98"/>
      <c r="F20" s="99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7" t="s">
        <v>171</v>
      </c>
      <c r="C26" s="98"/>
      <c r="D26" s="98"/>
      <c r="E26" s="98"/>
      <c r="F26" s="99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XWm+eVFliZIRx0UJQGcGjYlYUIMFb0PrnZCoS26E6YETIbTkCruMLOnW2Gk8Zyq7341hSG1/ojDKEOUsAA35g==" saltValue="C65B3mhWS90B3jTnTa676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221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18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3" t="s">
        <v>12</v>
      </c>
      <c r="C9" s="104"/>
      <c r="D9" s="104"/>
      <c r="E9" s="104"/>
      <c r="F9" s="105"/>
      <c r="G9" s="9">
        <v>-45403883</v>
      </c>
      <c r="H9" s="14" t="s">
        <v>3</v>
      </c>
      <c r="I9" s="1"/>
    </row>
    <row r="10" spans="1:9" x14ac:dyDescent="0.25">
      <c r="A10" s="1"/>
      <c r="B10" s="103" t="s">
        <v>137</v>
      </c>
      <c r="C10" s="104"/>
      <c r="D10" s="104"/>
      <c r="E10" s="104"/>
      <c r="F10" s="105"/>
      <c r="G10" s="9">
        <v>0</v>
      </c>
      <c r="H10" s="14" t="s">
        <v>3</v>
      </c>
      <c r="I10" s="1"/>
    </row>
    <row r="11" spans="1:9" x14ac:dyDescent="0.25">
      <c r="A11" s="1"/>
      <c r="B11" s="103" t="s">
        <v>77</v>
      </c>
      <c r="C11" s="104"/>
      <c r="D11" s="104"/>
      <c r="E11" s="104"/>
      <c r="F11" s="105"/>
      <c r="G11" s="9">
        <v>40767086.134920634</v>
      </c>
      <c r="H11" s="14" t="s">
        <v>3</v>
      </c>
      <c r="I11" s="1"/>
    </row>
    <row r="12" spans="1:9" x14ac:dyDescent="0.25">
      <c r="A12" s="1"/>
      <c r="B12" s="120" t="s">
        <v>15</v>
      </c>
      <c r="C12" s="121"/>
      <c r="D12" s="121"/>
      <c r="E12" s="121"/>
      <c r="F12" s="122"/>
      <c r="G12" s="19">
        <f>(G9+G10)+G11</f>
        <v>-4636796.8650793657</v>
      </c>
      <c r="H12" s="18" t="s">
        <v>3</v>
      </c>
      <c r="I12" s="1"/>
    </row>
    <row r="13" spans="1:9" x14ac:dyDescent="0.25">
      <c r="A13" s="1"/>
      <c r="B13" s="103" t="s">
        <v>13</v>
      </c>
      <c r="C13" s="104"/>
      <c r="D13" s="104"/>
      <c r="E13" s="104"/>
      <c r="F13" s="105"/>
      <c r="G13" s="9">
        <v>1</v>
      </c>
      <c r="H13" s="14" t="s">
        <v>28</v>
      </c>
      <c r="I13" s="1"/>
    </row>
    <row r="14" spans="1:9" x14ac:dyDescent="0.25">
      <c r="A14" s="1"/>
      <c r="B14" s="97" t="s">
        <v>138</v>
      </c>
      <c r="C14" s="98"/>
      <c r="D14" s="98"/>
      <c r="E14" s="98"/>
      <c r="F14" s="99"/>
      <c r="G14" s="12">
        <f>IF(G13 = 0,0,-G12/G13)</f>
        <v>4636796.8650793657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fJRKqgygW3FtNrc81FxR2OCFTMammeM6WsjvXS0iIMoZGIEHScYF7ZUNtPLUKqZtcsYxFvPnwd91Nkvstd0kg==" saltValue="VsNeTkM59HZnDiybseNqk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2" t="s">
        <v>62</v>
      </c>
      <c r="C3" s="82"/>
      <c r="D3" s="82"/>
      <c r="E3" s="1"/>
    </row>
    <row r="4" spans="1:5" ht="15" customHeight="1" x14ac:dyDescent="0.25">
      <c r="A4" s="1"/>
      <c r="B4" s="82"/>
      <c r="C4" s="82"/>
      <c r="D4" s="8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142913920.68584707</v>
      </c>
      <c r="D9" s="8" t="s">
        <v>3</v>
      </c>
      <c r="E9" s="1"/>
    </row>
    <row r="10" spans="1:5" ht="17.100000000000001" customHeight="1" x14ac:dyDescent="0.25">
      <c r="A10" s="1"/>
      <c r="B10" s="57" t="s">
        <v>64</v>
      </c>
      <c r="C10" s="7">
        <f>'Fane 10.1. Varige tillæg'!C15</f>
        <v>61841.745900000002</v>
      </c>
      <c r="D10" s="8" t="s">
        <v>3</v>
      </c>
      <c r="E10" s="1"/>
    </row>
    <row r="11" spans="1:5" ht="17.100000000000001" customHeight="1" x14ac:dyDescent="0.25">
      <c r="A11" s="1"/>
      <c r="B11" s="57" t="s">
        <v>65</v>
      </c>
      <c r="C11" s="9">
        <f>'Fane 10.1. Varige tillæg'!E15</f>
        <v>697167.87030000007</v>
      </c>
      <c r="D11" s="8" t="s">
        <v>3</v>
      </c>
      <c r="E11" s="1"/>
    </row>
    <row r="12" spans="1:5" ht="17.100000000000001" customHeight="1" x14ac:dyDescent="0.25">
      <c r="A12" s="1"/>
      <c r="B12" s="5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7" t="s">
        <v>27</v>
      </c>
      <c r="C16" s="9">
        <f>SUM(C9:C15)*'Fane 15. Nøgletal'!C12</f>
        <v>2830356.7269503274</v>
      </c>
      <c r="D16" s="8" t="s">
        <v>3</v>
      </c>
      <c r="E16" s="1"/>
    </row>
    <row r="17" spans="1:5" ht="17.100000000000001" customHeight="1" x14ac:dyDescent="0.25">
      <c r="A17" s="1"/>
      <c r="B17" s="57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57" t="s">
        <v>39</v>
      </c>
      <c r="C18" s="9">
        <f>-'Fane 4.1. Gen. krav - drift'!G28</f>
        <v>-905915.55526468297</v>
      </c>
      <c r="D18" s="8" t="s">
        <v>3</v>
      </c>
      <c r="E18" s="1"/>
    </row>
    <row r="19" spans="1:5" ht="17.100000000000001" customHeight="1" x14ac:dyDescent="0.25">
      <c r="A19" s="1"/>
      <c r="B19" s="57" t="s">
        <v>40</v>
      </c>
      <c r="C19" s="9">
        <f>-'Fane 4.2. Gen. krav - anlæg'!G25</f>
        <v>-3028068.3661125945</v>
      </c>
      <c r="D19" s="8" t="s">
        <v>3</v>
      </c>
      <c r="E19" s="1"/>
    </row>
    <row r="20" spans="1:5" ht="17.100000000000001" customHeight="1" x14ac:dyDescent="0.25">
      <c r="A20" s="1"/>
      <c r="B20" s="51" t="s">
        <v>29</v>
      </c>
      <c r="C20" s="10">
        <f>SUM(C9:C19)</f>
        <v>142569303.10762012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omk.'!C17+'Fane 6. Ikke-påvirkelige omk.'!C21+'Fane 6. Ikke-påvirkelige omk.'!C29</f>
        <v>6279818.6460050102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51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1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4636796.8650793657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153485918.6187045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IF1cENsSDSxJoOwhYOeyC6Qz87kRNSEiy/fzZAQLkORGt0xVIxA5Cb+npqsbkyOrlzaRx41r+92lJXtv8SPSig==" saltValue="sc4SZkZLL8h0NkWcpy0V/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7" t="s">
        <v>248</v>
      </c>
      <c r="C3" s="87"/>
      <c r="D3" s="1"/>
    </row>
    <row r="4" spans="1:4" ht="25.5" customHeight="1" x14ac:dyDescent="0.25">
      <c r="A4" s="1"/>
      <c r="B4" s="87"/>
      <c r="C4" s="8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8" t="s">
        <v>228</v>
      </c>
      <c r="C9" s="28">
        <v>1.2699999999999999E-2</v>
      </c>
      <c r="D9" s="1"/>
    </row>
    <row r="10" spans="1:4" x14ac:dyDescent="0.25">
      <c r="A10" s="1"/>
      <c r="B10" s="58" t="s">
        <v>229</v>
      </c>
      <c r="C10" s="28">
        <v>1.7500000000000002E-2</v>
      </c>
      <c r="D10" s="1"/>
    </row>
    <row r="11" spans="1:4" x14ac:dyDescent="0.25">
      <c r="A11" s="1"/>
      <c r="B11" s="58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8" t="s">
        <v>231</v>
      </c>
      <c r="C17" s="25">
        <v>9.1000000000000004E-3</v>
      </c>
      <c r="D17" s="1"/>
    </row>
    <row r="18" spans="1:4" x14ac:dyDescent="0.25">
      <c r="A18" s="1"/>
      <c r="B18" s="58" t="s">
        <v>232</v>
      </c>
      <c r="C18" s="25">
        <v>1.77E-2</v>
      </c>
      <c r="D18" s="1"/>
    </row>
    <row r="19" spans="1:4" x14ac:dyDescent="0.25">
      <c r="A19" s="1"/>
      <c r="B19" s="58" t="s">
        <v>233</v>
      </c>
      <c r="C19" s="25">
        <v>8.6999999999999994E-3</v>
      </c>
      <c r="D19" s="1"/>
    </row>
    <row r="20" spans="1:4" x14ac:dyDescent="0.25">
      <c r="A20" s="1"/>
      <c r="B20" s="58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8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lk1gCjOzPBFVMqXaDlP6FfTGfRW4+46g+kY8eDVbDjpptfEnaUC2FEksrhfbyxmopJ2ivoiiNh5UOMzAg6ZJeQ==" saltValue="CtCbGrDQ0t1ppe/pbLCdx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2" t="s">
        <v>82</v>
      </c>
      <c r="C3" s="82"/>
      <c r="D3" s="82"/>
      <c r="E3" s="1"/>
    </row>
    <row r="4" spans="1:5" ht="15" customHeight="1" x14ac:dyDescent="0.25">
      <c r="A4" s="1"/>
      <c r="B4" s="82"/>
      <c r="C4" s="82"/>
      <c r="D4" s="8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142569303.10762012</v>
      </c>
      <c r="D9" s="8" t="s">
        <v>3</v>
      </c>
      <c r="E9" s="1"/>
    </row>
    <row r="10" spans="1:5" ht="15" customHeight="1" x14ac:dyDescent="0.25">
      <c r="A10" s="1"/>
      <c r="B10" s="5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2808615.2712201164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-905286.84986932937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-3000030.0276379427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141472601.50133297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Nøgletal'!C12)+'Fane 6. Ikke-påvirkelige omk.'!C22+'Fane 6. Ikke-påvirkelige omk.'!C30</f>
        <v>4557673.1924313093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1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1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146030274.69376427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+nDlIOOAUoHTdercc4I+GYYoQVo89zH1V6WcxWhzx5zn0PMImetKfof8J9SvrNx/DA2QCHhiep2Ieb1aGVfoXA==" saltValue="dpHeCJWM4iir42Ix33iyh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2" t="s">
        <v>246</v>
      </c>
      <c r="C3" s="82"/>
      <c r="D3" s="82"/>
      <c r="E3" s="1"/>
    </row>
    <row r="4" spans="1:5" ht="15" customHeight="1" x14ac:dyDescent="0.25">
      <c r="A4" s="1"/>
      <c r="B4" s="82"/>
      <c r="C4" s="82"/>
      <c r="D4" s="82"/>
      <c r="E4" s="1"/>
    </row>
    <row r="5" spans="1:5" x14ac:dyDescent="0.25">
      <c r="A5" s="1"/>
      <c r="B5" s="83" t="s">
        <v>30</v>
      </c>
      <c r="C5" s="83"/>
      <c r="D5" s="83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141472601.50133297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2787010.2495762594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-904658.5807955201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-2972251.3095976301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140382701.86051607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Nøgletal'!C12)^2+'Fane 6. Ikke-påvirkelige omk.'!C23+'Fane 6. Ikke-påvirkelige omk.'!C31</f>
        <v>4647459.3543222062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1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1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145030161.21483827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TPj5e9ShB6QqTTzmHpWP6Pn5W/zcU/LX9aX8theaqYk3PFDpzYzj+Y354RyeCN9p1I9iepid5Cegqg5MWntL6A==" saltValue="qj5quzL/sH0SCiLnfOryQ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2" t="s">
        <v>247</v>
      </c>
      <c r="C3" s="82"/>
      <c r="D3" s="82"/>
      <c r="E3" s="1"/>
    </row>
    <row r="4" spans="1:5" ht="15" customHeight="1" x14ac:dyDescent="0.25">
      <c r="A4" s="1"/>
      <c r="B4" s="82"/>
      <c r="C4" s="82"/>
      <c r="D4" s="82"/>
      <c r="E4" s="1"/>
    </row>
    <row r="5" spans="1:5" x14ac:dyDescent="0.25">
      <c r="A5" s="1"/>
      <c r="B5" s="83" t="s">
        <v>30</v>
      </c>
      <c r="C5" s="83"/>
      <c r="D5" s="83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271</v>
      </c>
      <c r="C9" s="7">
        <f>'Fane 2.3. Økonomisk ramme 2022'!C16</f>
        <v>140382701.86051607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2765539.2266521663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-904030.7477404481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-2944729.8080414371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139299480.53138638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omk.'!C17*(1+'Fane 15. Nøgletal'!C12)^3+'Fane 6. Ikke-påvirkelige omk.'!C24+'Fane 6. Ikke-påvirkelige omk.'!C32</f>
        <v>4739014.3036023537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1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1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144038494.83498874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7aSzgp4KwrIhFN5/ZHi+FqgbHwH+lqwn5D0Hgda68I40AnPlIYhmpMkFvGRUqetq+gZpSYse3PVPdqbQTUlXCg==" saltValue="pfH8mj0GdMol4ZAvnIPc5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243</v>
      </c>
      <c r="C3" s="87"/>
      <c r="D3" s="87"/>
      <c r="E3" s="87"/>
      <c r="F3" s="87"/>
      <c r="G3" s="1"/>
    </row>
    <row r="4" spans="1:7" ht="29.2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4" t="s">
        <v>79</v>
      </c>
      <c r="C9" s="85"/>
      <c r="D9" s="86"/>
      <c r="E9" s="7">
        <v>143614455.04643145</v>
      </c>
      <c r="F9" s="8" t="s">
        <v>3</v>
      </c>
      <c r="G9" s="1"/>
    </row>
    <row r="10" spans="1:7" ht="15" customHeight="1" x14ac:dyDescent="0.25">
      <c r="A10" s="1"/>
      <c r="B10" s="88" t="s">
        <v>64</v>
      </c>
      <c r="C10" s="89"/>
      <c r="D10" s="90"/>
      <c r="E10" s="7">
        <v>912379.9673000006</v>
      </c>
      <c r="F10" s="8" t="s">
        <v>3</v>
      </c>
      <c r="G10" s="1"/>
    </row>
    <row r="11" spans="1:7" ht="15" customHeight="1" x14ac:dyDescent="0.25">
      <c r="A11" s="1"/>
      <c r="B11" s="88" t="s">
        <v>65</v>
      </c>
      <c r="C11" s="89"/>
      <c r="D11" s="90"/>
      <c r="E11" s="9">
        <v>611736.53299999994</v>
      </c>
      <c r="F11" s="8" t="s">
        <v>3</v>
      </c>
      <c r="G11" s="1"/>
    </row>
    <row r="12" spans="1:7" ht="15" customHeight="1" x14ac:dyDescent="0.25">
      <c r="A12" s="1"/>
      <c r="B12" s="88" t="s">
        <v>42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25">
      <c r="A13" s="1"/>
      <c r="B13" s="84" t="s">
        <v>41</v>
      </c>
      <c r="C13" s="85"/>
      <c r="D13" s="86"/>
      <c r="E13" s="9">
        <v>0</v>
      </c>
      <c r="F13" s="8" t="s">
        <v>3</v>
      </c>
      <c r="G13" s="1"/>
    </row>
    <row r="14" spans="1:7" ht="15" customHeight="1" x14ac:dyDescent="0.25">
      <c r="A14" s="1"/>
      <c r="B14" s="84" t="s">
        <v>44</v>
      </c>
      <c r="C14" s="85"/>
      <c r="D14" s="86"/>
      <c r="E14" s="9">
        <v>0</v>
      </c>
      <c r="F14" s="8" t="s">
        <v>3</v>
      </c>
      <c r="G14" s="1"/>
    </row>
    <row r="15" spans="1:7" ht="15" customHeight="1" x14ac:dyDescent="0.25">
      <c r="A15" s="1"/>
      <c r="B15" s="84" t="s">
        <v>43</v>
      </c>
      <c r="C15" s="85"/>
      <c r="D15" s="86"/>
      <c r="E15" s="9">
        <v>0</v>
      </c>
      <c r="F15" s="8" t="s">
        <v>3</v>
      </c>
      <c r="G15" s="1"/>
    </row>
    <row r="16" spans="1:7" ht="15" customHeight="1" x14ac:dyDescent="0.25">
      <c r="A16" s="1"/>
      <c r="B16" s="84" t="s">
        <v>27</v>
      </c>
      <c r="C16" s="85"/>
      <c r="D16" s="86"/>
      <c r="E16" s="9">
        <f>E9*'Fane 15. Nøgletal'!C10+SUM(E10:E15)*'Fane 15. Nøgletal'!C11</f>
        <v>2539010.5321676205</v>
      </c>
      <c r="F16" s="8" t="s">
        <v>3</v>
      </c>
      <c r="G16" s="1"/>
    </row>
    <row r="17" spans="1:7" ht="15" customHeight="1" x14ac:dyDescent="0.25">
      <c r="A17" s="1"/>
      <c r="B17" s="84" t="s">
        <v>10</v>
      </c>
      <c r="C17" s="85"/>
      <c r="D17" s="86"/>
      <c r="E17" s="9">
        <f>-SUM(E9:E16)*'Fane 5. Individuelt eff. krav'!G10</f>
        <v>-1992540.1621963908</v>
      </c>
      <c r="F17" s="8" t="s">
        <v>3</v>
      </c>
      <c r="G17" s="1"/>
    </row>
    <row r="18" spans="1:7" ht="15" customHeight="1" x14ac:dyDescent="0.25">
      <c r="A18" s="1"/>
      <c r="B18" s="84" t="s">
        <v>39</v>
      </c>
      <c r="C18" s="85"/>
      <c r="D18" s="86"/>
      <c r="E18" s="9">
        <f>-'Fane 4.1. Gen. krav - drift'!G22</f>
        <v>-905282.62083765969</v>
      </c>
      <c r="F18" s="8" t="s">
        <v>3</v>
      </c>
      <c r="G18" s="1"/>
    </row>
    <row r="19" spans="1:7" ht="15" customHeight="1" x14ac:dyDescent="0.25">
      <c r="A19" s="1"/>
      <c r="B19" s="84" t="s">
        <v>40</v>
      </c>
      <c r="C19" s="85"/>
      <c r="D19" s="86"/>
      <c r="E19" s="9">
        <f>-'Fane 4.2. Gen. krav - anlæg'!G19</f>
        <v>-1865838.6100179248</v>
      </c>
      <c r="F19" s="8" t="s">
        <v>3</v>
      </c>
      <c r="G19" s="1"/>
    </row>
    <row r="20" spans="1:7" ht="15" customHeight="1" x14ac:dyDescent="0.25">
      <c r="A20" s="1"/>
      <c r="B20" s="51" t="s">
        <v>29</v>
      </c>
      <c r="C20" s="52"/>
      <c r="D20" s="53"/>
      <c r="E20" s="10">
        <f>SUM(E9:E19)</f>
        <v>142913920.68584707</v>
      </c>
      <c r="F20" s="11" t="s">
        <v>3</v>
      </c>
      <c r="G20" s="1"/>
    </row>
    <row r="21" spans="1:7" ht="15" customHeight="1" x14ac:dyDescent="0.25">
      <c r="A21" s="1"/>
      <c r="B21" s="97" t="s">
        <v>145</v>
      </c>
      <c r="C21" s="98"/>
      <c r="D21" s="98"/>
      <c r="E21" s="98"/>
      <c r="F21" s="99"/>
      <c r="G21" s="1"/>
    </row>
    <row r="22" spans="1:7" ht="15" customHeight="1" x14ac:dyDescent="0.25">
      <c r="A22" s="1"/>
      <c r="B22" s="84" t="s">
        <v>239</v>
      </c>
      <c r="C22" s="85"/>
      <c r="D22" s="86"/>
      <c r="E22" s="44">
        <v>0</v>
      </c>
      <c r="F22" s="8" t="s">
        <v>3</v>
      </c>
      <c r="G22" s="1"/>
    </row>
    <row r="23" spans="1:7" ht="15" customHeight="1" x14ac:dyDescent="0.25">
      <c r="A23" s="1"/>
      <c r="B23" s="84" t="s">
        <v>238</v>
      </c>
      <c r="C23" s="85"/>
      <c r="D23" s="86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91" t="s">
        <v>240</v>
      </c>
      <c r="C24" s="92"/>
      <c r="D24" s="93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91" t="s">
        <v>17</v>
      </c>
      <c r="C26" s="92"/>
      <c r="D26" s="93"/>
      <c r="E26" s="10">
        <v>3886651.0945237889</v>
      </c>
      <c r="F26" s="11" t="s">
        <v>3</v>
      </c>
      <c r="G26" s="1"/>
    </row>
    <row r="27" spans="1:7" ht="15" customHeight="1" x14ac:dyDescent="0.25">
      <c r="A27" s="1"/>
      <c r="B27" s="97" t="s">
        <v>144</v>
      </c>
      <c r="C27" s="98"/>
      <c r="D27" s="98"/>
      <c r="E27" s="97"/>
      <c r="F27" s="98"/>
      <c r="G27" s="1"/>
    </row>
    <row r="28" spans="1:7" ht="15" customHeight="1" x14ac:dyDescent="0.25">
      <c r="A28" s="1"/>
      <c r="B28" s="100" t="s">
        <v>140</v>
      </c>
      <c r="C28" s="101"/>
      <c r="D28" s="102"/>
      <c r="E28" s="46">
        <v>4100117.386996089</v>
      </c>
      <c r="F28" s="47" t="s">
        <v>3</v>
      </c>
      <c r="G28" s="1"/>
    </row>
    <row r="29" spans="1:7" ht="15" customHeight="1" x14ac:dyDescent="0.25">
      <c r="A29" s="1"/>
      <c r="B29" s="100" t="s">
        <v>141</v>
      </c>
      <c r="C29" s="101"/>
      <c r="D29" s="102"/>
      <c r="E29" s="46">
        <v>0</v>
      </c>
      <c r="F29" s="47" t="s">
        <v>3</v>
      </c>
      <c r="G29" s="1"/>
    </row>
    <row r="30" spans="1:7" ht="15" customHeight="1" x14ac:dyDescent="0.25">
      <c r="A30" s="1"/>
      <c r="B30" s="100" t="s">
        <v>268</v>
      </c>
      <c r="C30" s="101"/>
      <c r="D30" s="102"/>
      <c r="E30" s="46">
        <f>-(E28*'Fane 15. Nøgletal'!C25+E28*'Fane 5. Individuelt eff. krav'!G10)</f>
        <v>-137323.19230077509</v>
      </c>
      <c r="F30" s="47" t="s">
        <v>3</v>
      </c>
      <c r="G30" s="1"/>
    </row>
    <row r="31" spans="1:7" ht="15" customHeight="1" x14ac:dyDescent="0.25">
      <c r="A31" s="1"/>
      <c r="B31" s="91" t="s">
        <v>147</v>
      </c>
      <c r="C31" s="92"/>
      <c r="D31" s="93"/>
      <c r="E31" s="45">
        <f>SUM(E28:E30)</f>
        <v>3962794.1946953139</v>
      </c>
      <c r="F31" s="11" t="s">
        <v>3</v>
      </c>
      <c r="G31" s="1"/>
    </row>
    <row r="32" spans="1:7" x14ac:dyDescent="0.25">
      <c r="A32" s="1"/>
      <c r="B32" s="40" t="s">
        <v>80</v>
      </c>
      <c r="C32" s="34"/>
      <c r="D32" s="34"/>
      <c r="E32" s="34"/>
      <c r="F32" s="22"/>
      <c r="G32" s="1"/>
    </row>
    <row r="33" spans="1:7" ht="27" customHeight="1" x14ac:dyDescent="0.25">
      <c r="A33" s="1"/>
      <c r="B33" s="94" t="s">
        <v>134</v>
      </c>
      <c r="C33" s="95"/>
      <c r="D33" s="96"/>
      <c r="E33" s="10">
        <v>18871.004347060512</v>
      </c>
      <c r="F33" s="11" t="s">
        <v>3</v>
      </c>
      <c r="G33" s="1"/>
    </row>
    <row r="34" spans="1:7" x14ac:dyDescent="0.25">
      <c r="A34" s="1"/>
      <c r="B34" s="40" t="s">
        <v>11</v>
      </c>
      <c r="C34" s="34"/>
      <c r="D34" s="34"/>
      <c r="E34" s="34"/>
      <c r="F34" s="22"/>
      <c r="G34" s="1"/>
    </row>
    <row r="35" spans="1:7" ht="15" customHeight="1" x14ac:dyDescent="0.25">
      <c r="A35" s="1"/>
      <c r="B35" s="94" t="s">
        <v>19</v>
      </c>
      <c r="C35" s="95"/>
      <c r="D35" s="96"/>
      <c r="E35" s="10">
        <v>4636796</v>
      </c>
      <c r="F35" s="11" t="s">
        <v>3</v>
      </c>
      <c r="G35" s="1"/>
    </row>
    <row r="36" spans="1:7" x14ac:dyDescent="0.25">
      <c r="A36" s="1"/>
      <c r="B36" s="97" t="s">
        <v>24</v>
      </c>
      <c r="C36" s="98"/>
      <c r="D36" s="99"/>
      <c r="E36" s="12">
        <f>SUM(E35,E33,E31,E26,E20,E24)</f>
        <v>155419032.97941324</v>
      </c>
      <c r="F36" s="13" t="s">
        <v>3</v>
      </c>
      <c r="G36" s="1"/>
    </row>
    <row r="37" spans="1:7" ht="27" customHeight="1" x14ac:dyDescent="0.25">
      <c r="A37" s="1"/>
      <c r="B37" s="84" t="s">
        <v>208</v>
      </c>
      <c r="C37" s="85"/>
      <c r="D37" s="85"/>
      <c r="E37" s="85"/>
      <c r="F37" s="86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KnNnAJyRNBWrMJerYDMA8Q/Cs8w2ZVFZ7pjTC/mOeWYJvPKC8hBsIZDKOITY0XvwRJ6otVEoYIGQ8cb7IasNbQ==" saltValue="ucZjclKSYbcgeZGt/eGvLw==" spinCount="100000" sheet="1" objects="1" scenarios="1"/>
  <mergeCells count="27">
    <mergeCell ref="B22:D22"/>
    <mergeCell ref="B23:D23"/>
    <mergeCell ref="B21:F21"/>
    <mergeCell ref="B24:D24"/>
    <mergeCell ref="B35:D35"/>
    <mergeCell ref="B27:D27"/>
    <mergeCell ref="E27:F27"/>
    <mergeCell ref="B28:D28"/>
    <mergeCell ref="B29:D29"/>
    <mergeCell ref="B30:D30"/>
    <mergeCell ref="B31:D31"/>
    <mergeCell ref="B37:F37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3:D33"/>
    <mergeCell ref="B36:D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82" t="s">
        <v>218</v>
      </c>
      <c r="C2" s="82"/>
      <c r="D2" s="82"/>
      <c r="E2" s="82"/>
      <c r="F2" s="82"/>
      <c r="G2" s="82"/>
      <c r="H2" s="82"/>
      <c r="I2" s="1"/>
    </row>
    <row r="3" spans="1:9" ht="15" customHeight="1" x14ac:dyDescent="0.25">
      <c r="A3" s="1"/>
      <c r="B3" s="82"/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97" t="s">
        <v>94</v>
      </c>
      <c r="C5" s="98"/>
      <c r="D5" s="98"/>
      <c r="E5" s="98"/>
      <c r="F5" s="98"/>
      <c r="G5" s="98"/>
      <c r="H5" s="99"/>
      <c r="I5" s="1"/>
    </row>
    <row r="6" spans="1:9" x14ac:dyDescent="0.25">
      <c r="A6" s="1"/>
      <c r="B6" s="103" t="s">
        <v>83</v>
      </c>
      <c r="C6" s="104"/>
      <c r="D6" s="104"/>
      <c r="E6" s="104"/>
      <c r="F6" s="105"/>
      <c r="G6" s="26">
        <v>44586064.453811437</v>
      </c>
      <c r="H6" s="14" t="s">
        <v>3</v>
      </c>
      <c r="I6" s="1"/>
    </row>
    <row r="7" spans="1:9" x14ac:dyDescent="0.25">
      <c r="A7" s="1"/>
      <c r="B7" s="84" t="s">
        <v>242</v>
      </c>
      <c r="C7" s="85"/>
      <c r="D7" s="85"/>
      <c r="E7" s="85"/>
      <c r="F7" s="86"/>
      <c r="G7" s="26">
        <v>0</v>
      </c>
      <c r="H7" s="14" t="s">
        <v>3</v>
      </c>
      <c r="I7" s="1"/>
    </row>
    <row r="8" spans="1:9" x14ac:dyDescent="0.25">
      <c r="A8" s="1"/>
      <c r="B8" s="103" t="s">
        <v>84</v>
      </c>
      <c r="C8" s="104"/>
      <c r="D8" s="104"/>
      <c r="E8" s="104"/>
      <c r="F8" s="105"/>
      <c r="G8" s="26">
        <f>SUM(G6:G7)*'Fane 15. Nøgletal'!C25</f>
        <v>891721.28907622874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7" t="s">
        <v>95</v>
      </c>
      <c r="C11" s="98"/>
      <c r="D11" s="98"/>
      <c r="E11" s="98"/>
      <c r="F11" s="98"/>
      <c r="G11" s="98"/>
      <c r="H11" s="99"/>
      <c r="I11" s="1"/>
    </row>
    <row r="12" spans="1:9" x14ac:dyDescent="0.25">
      <c r="A12" s="1"/>
      <c r="B12" s="103" t="s">
        <v>85</v>
      </c>
      <c r="C12" s="104"/>
      <c r="D12" s="104"/>
      <c r="E12" s="104"/>
      <c r="F12" s="105"/>
      <c r="G12" s="26">
        <f>(G6-G8)*(1+'Fane 15. Nøgletal'!C10)</f>
        <v>44458994.170118071</v>
      </c>
      <c r="H12" s="14" t="s">
        <v>3</v>
      </c>
      <c r="I12" s="1"/>
    </row>
    <row r="13" spans="1:9" x14ac:dyDescent="0.25">
      <c r="A13" s="1"/>
      <c r="B13" s="103" t="s">
        <v>244</v>
      </c>
      <c r="C13" s="104"/>
      <c r="D13" s="104"/>
      <c r="E13" s="104"/>
      <c r="F13" s="105"/>
      <c r="G13" s="26">
        <v>4057.3799351990037</v>
      </c>
      <c r="H13" s="14" t="s">
        <v>3</v>
      </c>
      <c r="I13" s="1"/>
    </row>
    <row r="14" spans="1:9" ht="15" customHeight="1" x14ac:dyDescent="0.25">
      <c r="A14" s="1"/>
      <c r="B14" s="84" t="s">
        <v>237</v>
      </c>
      <c r="C14" s="85"/>
      <c r="D14" s="85"/>
      <c r="E14" s="85"/>
      <c r="F14" s="86"/>
      <c r="G14" s="26">
        <v>0</v>
      </c>
      <c r="H14" s="14" t="s">
        <v>3</v>
      </c>
      <c r="I14" s="1"/>
    </row>
    <row r="15" spans="1:9" x14ac:dyDescent="0.25">
      <c r="A15" s="1"/>
      <c r="B15" s="106" t="s">
        <v>86</v>
      </c>
      <c r="C15" s="107"/>
      <c r="D15" s="107"/>
      <c r="E15" s="107"/>
      <c r="F15" s="108"/>
      <c r="G15" s="26">
        <v>0</v>
      </c>
      <c r="H15" s="14" t="s">
        <v>3</v>
      </c>
      <c r="I15" s="1"/>
    </row>
    <row r="16" spans="1:9" x14ac:dyDescent="0.25">
      <c r="A16" s="1"/>
      <c r="B16" s="103" t="s">
        <v>87</v>
      </c>
      <c r="C16" s="104"/>
      <c r="D16" s="104"/>
      <c r="E16" s="104"/>
      <c r="F16" s="105"/>
      <c r="G16" s="26">
        <f>SUM(G12:G15)*'Fane 15. Nøgletal'!C25</f>
        <v>889261.03100106539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7" t="s">
        <v>96</v>
      </c>
      <c r="C19" s="98"/>
      <c r="D19" s="98"/>
      <c r="E19" s="98"/>
      <c r="F19" s="98"/>
      <c r="G19" s="98"/>
      <c r="H19" s="99"/>
      <c r="I19" s="1"/>
    </row>
    <row r="20" spans="1:9" x14ac:dyDescent="0.25">
      <c r="A20" s="1"/>
      <c r="B20" s="103" t="s">
        <v>88</v>
      </c>
      <c r="C20" s="104"/>
      <c r="D20" s="104"/>
      <c r="E20" s="104"/>
      <c r="F20" s="105"/>
      <c r="G20" s="26">
        <f>(SUM(G12:G13,G15)-(G16))*(1+'Fane 15. Nøgletal'!C10)</f>
        <v>44336331.853135616</v>
      </c>
      <c r="H20" s="14" t="s">
        <v>3</v>
      </c>
      <c r="I20" s="1"/>
    </row>
    <row r="21" spans="1:9" x14ac:dyDescent="0.25">
      <c r="A21" s="1"/>
      <c r="B21" s="106" t="s">
        <v>89</v>
      </c>
      <c r="C21" s="107"/>
      <c r="D21" s="107"/>
      <c r="E21" s="107"/>
      <c r="F21" s="108"/>
      <c r="G21" s="26">
        <f>5027916.57574346-3964969*1.0169^2</f>
        <v>927799.18874737108</v>
      </c>
      <c r="H21" s="14" t="s">
        <v>3</v>
      </c>
      <c r="I21" s="1"/>
    </row>
    <row r="22" spans="1:9" x14ac:dyDescent="0.25">
      <c r="A22" s="1"/>
      <c r="B22" s="103" t="s">
        <v>90</v>
      </c>
      <c r="C22" s="104"/>
      <c r="D22" s="104"/>
      <c r="E22" s="104"/>
      <c r="F22" s="105"/>
      <c r="G22" s="26">
        <f>SUM(G20:G21)*'Fane 15. Nøgletal'!C25</f>
        <v>905282.62083765969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7" t="s">
        <v>97</v>
      </c>
      <c r="C25" s="98"/>
      <c r="D25" s="98"/>
      <c r="E25" s="98"/>
      <c r="F25" s="98"/>
      <c r="G25" s="98"/>
      <c r="H25" s="99"/>
      <c r="I25" s="1"/>
    </row>
    <row r="26" spans="1:9" x14ac:dyDescent="0.25">
      <c r="A26" s="1"/>
      <c r="B26" s="103" t="s">
        <v>91</v>
      </c>
      <c r="C26" s="104"/>
      <c r="D26" s="104"/>
      <c r="E26" s="104"/>
      <c r="F26" s="105"/>
      <c r="G26" s="26">
        <f>(G20+G21-G22)*(1+'Fane 15. Nøgletal'!C12)</f>
        <v>45232717.734939918</v>
      </c>
      <c r="H26" s="14" t="s">
        <v>3</v>
      </c>
      <c r="I26" s="1"/>
    </row>
    <row r="27" spans="1:9" x14ac:dyDescent="0.25">
      <c r="A27" s="1"/>
      <c r="B27" s="106" t="s">
        <v>92</v>
      </c>
      <c r="C27" s="107"/>
      <c r="D27" s="107"/>
      <c r="E27" s="107"/>
      <c r="F27" s="108"/>
      <c r="G27" s="26">
        <f>('Fane 2.1. Økonomisk ramme 2020'!C10+'Fane 2.1. Økonomisk ramme 2020'!C12+'Fane 2.1. Økonomisk ramme 2020'!C14)*(1+'Fane 15. Nøgletal'!C12)</f>
        <v>63060.028294230004</v>
      </c>
      <c r="H27" s="14" t="s">
        <v>3</v>
      </c>
      <c r="I27" s="1"/>
    </row>
    <row r="28" spans="1:9" x14ac:dyDescent="0.25">
      <c r="A28" s="1"/>
      <c r="B28" s="103" t="s">
        <v>93</v>
      </c>
      <c r="C28" s="104"/>
      <c r="D28" s="104"/>
      <c r="E28" s="104"/>
      <c r="F28" s="105"/>
      <c r="G28" s="26">
        <f>(G26+G27)*'Fane 15. Nøgletal'!C25</f>
        <v>905915.55526468297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7" t="s">
        <v>100</v>
      </c>
      <c r="C31" s="98"/>
      <c r="D31" s="98"/>
      <c r="E31" s="98"/>
      <c r="F31" s="98"/>
      <c r="G31" s="98"/>
      <c r="H31" s="99"/>
      <c r="I31" s="1"/>
    </row>
    <row r="32" spans="1:9" x14ac:dyDescent="0.25">
      <c r="A32" s="1"/>
      <c r="B32" s="103" t="s">
        <v>101</v>
      </c>
      <c r="C32" s="104"/>
      <c r="D32" s="104"/>
      <c r="E32" s="104"/>
      <c r="F32" s="105"/>
      <c r="G32" s="26">
        <f>(G26+G27-G28)*(1+'Fane 15. Nøgletal'!C12)</f>
        <v>45264342.493466467</v>
      </c>
      <c r="H32" s="14" t="s">
        <v>3</v>
      </c>
      <c r="I32" s="1"/>
    </row>
    <row r="33" spans="1:9" x14ac:dyDescent="0.25">
      <c r="A33" s="1"/>
      <c r="B33" s="103" t="s">
        <v>149</v>
      </c>
      <c r="C33" s="104"/>
      <c r="D33" s="104"/>
      <c r="E33" s="104"/>
      <c r="F33" s="105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103" t="s">
        <v>102</v>
      </c>
      <c r="C34" s="104"/>
      <c r="D34" s="104"/>
      <c r="E34" s="104"/>
      <c r="F34" s="105"/>
      <c r="G34" s="26">
        <f>(G32+G33)*'Fane 15. Nøgletal'!C25</f>
        <v>905286.84986932937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7" t="s">
        <v>127</v>
      </c>
      <c r="C37" s="98"/>
      <c r="D37" s="98"/>
      <c r="E37" s="98"/>
      <c r="F37" s="98"/>
      <c r="G37" s="98"/>
      <c r="H37" s="99"/>
      <c r="I37" s="1"/>
    </row>
    <row r="38" spans="1:9" x14ac:dyDescent="0.25">
      <c r="A38" s="1"/>
      <c r="B38" s="103" t="s">
        <v>126</v>
      </c>
      <c r="C38" s="104"/>
      <c r="D38" s="104"/>
      <c r="E38" s="104"/>
      <c r="F38" s="105"/>
      <c r="G38" s="26">
        <f>(G32-G34)*(1+'Fane 15. Nøgletal'!C12)</f>
        <v>45232929.039776005</v>
      </c>
      <c r="H38" s="14" t="s">
        <v>3</v>
      </c>
      <c r="I38" s="1"/>
    </row>
    <row r="39" spans="1:9" x14ac:dyDescent="0.25">
      <c r="A39" s="1"/>
      <c r="B39" s="103" t="s">
        <v>150</v>
      </c>
      <c r="C39" s="104"/>
      <c r="D39" s="104"/>
      <c r="E39" s="104"/>
      <c r="F39" s="105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103" t="s">
        <v>103</v>
      </c>
      <c r="C40" s="104"/>
      <c r="D40" s="104"/>
      <c r="E40" s="104"/>
      <c r="F40" s="105"/>
      <c r="G40" s="26">
        <f>(G38+G39)*'Fane 15. Nøgletal'!C25</f>
        <v>904658.5807955201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7" t="s">
        <v>128</v>
      </c>
      <c r="C43" s="98"/>
      <c r="D43" s="98"/>
      <c r="E43" s="98"/>
      <c r="F43" s="98"/>
      <c r="G43" s="98"/>
      <c r="H43" s="99"/>
      <c r="I43" s="1"/>
    </row>
    <row r="44" spans="1:9" x14ac:dyDescent="0.25">
      <c r="A44" s="1"/>
      <c r="B44" s="103" t="s">
        <v>125</v>
      </c>
      <c r="C44" s="104"/>
      <c r="D44" s="104"/>
      <c r="E44" s="104"/>
      <c r="F44" s="105"/>
      <c r="G44" s="26">
        <f>(G38-G40)*(1+'Fane 15. Nøgletal'!C12)</f>
        <v>45201537.387022406</v>
      </c>
      <c r="H44" s="14" t="s">
        <v>3</v>
      </c>
      <c r="I44" s="1"/>
    </row>
    <row r="45" spans="1:9" x14ac:dyDescent="0.25">
      <c r="A45" s="1"/>
      <c r="B45" s="103" t="s">
        <v>151</v>
      </c>
      <c r="C45" s="104"/>
      <c r="D45" s="104"/>
      <c r="E45" s="104"/>
      <c r="F45" s="105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103" t="s">
        <v>104</v>
      </c>
      <c r="C46" s="104"/>
      <c r="D46" s="104"/>
      <c r="E46" s="104"/>
      <c r="F46" s="105"/>
      <c r="G46" s="26">
        <f>(G44+G45)*'Fane 15. Nøgletal'!C25</f>
        <v>904030.7477404481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zEu8niZC52CiJ0QvT366ux5h4jHBU5uah+++37SqfaBmF/cKYTHACtxDboSDPOIwOpSNqGTQtUdwJdYfZqoGw==" saltValue="TgDubI8CRL7ibQjNj+hFHg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9" t="s">
        <v>219</v>
      </c>
      <c r="C2" s="109"/>
      <c r="D2" s="109"/>
      <c r="E2" s="109"/>
      <c r="F2" s="109"/>
      <c r="G2" s="109"/>
      <c r="H2" s="109"/>
      <c r="I2" s="1"/>
    </row>
    <row r="3" spans="1:9" ht="18.75" x14ac:dyDescent="0.3">
      <c r="A3" s="1"/>
      <c r="B3" s="59"/>
      <c r="C3" s="59"/>
      <c r="D3" s="59"/>
      <c r="E3" s="59"/>
      <c r="F3" s="59"/>
      <c r="G3" s="59"/>
      <c r="H3" s="59"/>
      <c r="I3" s="1"/>
    </row>
    <row r="4" spans="1:9" x14ac:dyDescent="0.25">
      <c r="A4" s="1"/>
      <c r="B4" s="97" t="s">
        <v>98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3" t="s">
        <v>105</v>
      </c>
      <c r="C5" s="104"/>
      <c r="D5" s="104"/>
      <c r="E5" s="104"/>
      <c r="F5" s="105"/>
      <c r="G5" s="26">
        <v>104117569</v>
      </c>
      <c r="H5" s="14" t="s">
        <v>3</v>
      </c>
      <c r="I5" s="1"/>
    </row>
    <row r="6" spans="1:9" x14ac:dyDescent="0.25">
      <c r="A6" s="1"/>
      <c r="B6" s="103" t="s">
        <v>99</v>
      </c>
      <c r="C6" s="104"/>
      <c r="D6" s="104"/>
      <c r="E6" s="104"/>
      <c r="F6" s="105"/>
      <c r="G6" s="26">
        <f>G5*'Fane 15. Nøgletal'!C17</f>
        <v>947469.87790000008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106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3" t="s">
        <v>107</v>
      </c>
      <c r="C10" s="104"/>
      <c r="D10" s="104"/>
      <c r="E10" s="104"/>
      <c r="F10" s="105"/>
      <c r="G10" s="26">
        <f>(G5-G6)*(1+'Fane 15. Nøgletal'!C10)</f>
        <v>104975575.85673675</v>
      </c>
      <c r="H10" s="14" t="s">
        <v>3</v>
      </c>
      <c r="I10" s="1"/>
    </row>
    <row r="11" spans="1:9" x14ac:dyDescent="0.25">
      <c r="A11" s="1"/>
      <c r="B11" s="103" t="s">
        <v>245</v>
      </c>
      <c r="C11" s="104"/>
      <c r="D11" s="104"/>
      <c r="E11" s="104"/>
      <c r="F11" s="105"/>
      <c r="G11" s="26">
        <v>186875.81929764227</v>
      </c>
      <c r="H11" s="14" t="s">
        <v>3</v>
      </c>
      <c r="I11" s="1"/>
    </row>
    <row r="12" spans="1:9" x14ac:dyDescent="0.25">
      <c r="A12" s="1"/>
      <c r="B12" s="106" t="s">
        <v>108</v>
      </c>
      <c r="C12" s="107"/>
      <c r="D12" s="107"/>
      <c r="E12" s="107"/>
      <c r="F12" s="108"/>
      <c r="G12" s="26">
        <v>0</v>
      </c>
      <c r="H12" s="14" t="s">
        <v>3</v>
      </c>
      <c r="I12" s="1"/>
    </row>
    <row r="13" spans="1:9" x14ac:dyDescent="0.25">
      <c r="A13" s="1"/>
      <c r="B13" s="103" t="s">
        <v>109</v>
      </c>
      <c r="C13" s="104"/>
      <c r="D13" s="104"/>
      <c r="E13" s="104"/>
      <c r="F13" s="105"/>
      <c r="G13" s="26">
        <f>SUM(G10:G12)*'Fane 15. Nøgletal'!C18</f>
        <v>1861375.3946658089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7" t="s">
        <v>110</v>
      </c>
      <c r="C16" s="98"/>
      <c r="D16" s="98"/>
      <c r="E16" s="98"/>
      <c r="F16" s="98"/>
      <c r="G16" s="98"/>
      <c r="H16" s="99"/>
      <c r="I16" s="1"/>
    </row>
    <row r="17" spans="1:9" x14ac:dyDescent="0.25">
      <c r="A17" s="1"/>
      <c r="B17" s="103" t="s">
        <v>111</v>
      </c>
      <c r="C17" s="104"/>
      <c r="D17" s="104"/>
      <c r="E17" s="104"/>
      <c r="F17" s="105"/>
      <c r="G17" s="26">
        <f>(SUM(G10:G12)-G13)*(1+'Fane 15. Nøgletal'!C10)</f>
        <v>105108845.11629254</v>
      </c>
      <c r="H17" s="14" t="s">
        <v>3</v>
      </c>
      <c r="I17" s="1"/>
    </row>
    <row r="18" spans="1:9" x14ac:dyDescent="0.25">
      <c r="A18" s="1"/>
      <c r="B18" s="106" t="s">
        <v>112</v>
      </c>
      <c r="C18" s="107"/>
      <c r="D18" s="107"/>
      <c r="E18" s="107"/>
      <c r="F18" s="108"/>
      <c r="G18" s="26">
        <v>622074.88040769985</v>
      </c>
      <c r="H18" s="14" t="s">
        <v>3</v>
      </c>
      <c r="I18" s="1"/>
    </row>
    <row r="19" spans="1:9" x14ac:dyDescent="0.25">
      <c r="A19" s="1"/>
      <c r="B19" s="103" t="s">
        <v>113</v>
      </c>
      <c r="C19" s="104"/>
      <c r="D19" s="104"/>
      <c r="E19" s="104"/>
      <c r="F19" s="105"/>
      <c r="G19" s="26">
        <f>G17*'Fane 15. Nøgletal'!C18+G18*'Fane 15. Nøgletal'!C19</f>
        <v>1865838.6100179248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114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3" t="s">
        <v>115</v>
      </c>
      <c r="C23" s="104"/>
      <c r="D23" s="104"/>
      <c r="E23" s="104"/>
      <c r="F23" s="105"/>
      <c r="G23" s="26">
        <f>(G17+G18-G19)*(1+'Fane 15. Nøgletal'!C12)</f>
        <v>105911223.48999996</v>
      </c>
      <c r="H23" s="14" t="s">
        <v>3</v>
      </c>
      <c r="I23" s="1"/>
    </row>
    <row r="24" spans="1:9" x14ac:dyDescent="0.25">
      <c r="A24" s="1"/>
      <c r="B24" s="106" t="s">
        <v>116</v>
      </c>
      <c r="C24" s="107"/>
      <c r="D24" s="107"/>
      <c r="E24" s="107"/>
      <c r="F24" s="108"/>
      <c r="G24" s="26">
        <f>('Fane 2.1. Økonomisk ramme 2020'!C11+'Fane 2.1. Økonomisk ramme 2020'!C13+'Fane 2.1. Økonomisk ramme 2020'!C15)*(1+'Fane 15. Nøgletal'!C12)</f>
        <v>710902.07734491013</v>
      </c>
      <c r="H24" s="14" t="s">
        <v>3</v>
      </c>
      <c r="I24" s="1"/>
    </row>
    <row r="25" spans="1:9" x14ac:dyDescent="0.25">
      <c r="A25" s="1"/>
      <c r="B25" s="103" t="s">
        <v>117</v>
      </c>
      <c r="C25" s="104"/>
      <c r="D25" s="104"/>
      <c r="E25" s="104"/>
      <c r="F25" s="105"/>
      <c r="G25" s="26">
        <f>(G23+G24)*'Fane 15. Nøgletal'!C20</f>
        <v>3028068.3661125945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118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3" t="s">
        <v>119</v>
      </c>
      <c r="C29" s="104"/>
      <c r="D29" s="104"/>
      <c r="E29" s="104"/>
      <c r="F29" s="105"/>
      <c r="G29" s="26">
        <f>(G23+G24-G25)*(1+'Fane 15. Nøgletal'!C12)</f>
        <v>105634860.12809657</v>
      </c>
      <c r="H29" s="14" t="s">
        <v>3</v>
      </c>
      <c r="I29" s="1"/>
    </row>
    <row r="30" spans="1:9" x14ac:dyDescent="0.25">
      <c r="A30" s="1"/>
      <c r="B30" s="103" t="s">
        <v>155</v>
      </c>
      <c r="C30" s="104"/>
      <c r="D30" s="104"/>
      <c r="E30" s="104"/>
      <c r="F30" s="105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103" t="s">
        <v>120</v>
      </c>
      <c r="C31" s="104"/>
      <c r="D31" s="104"/>
      <c r="E31" s="104"/>
      <c r="F31" s="105"/>
      <c r="G31" s="26">
        <f>(G29+G30)*'Fane 15. Nøgletal'!C20</f>
        <v>3000030.0276379427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129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3" t="s">
        <v>124</v>
      </c>
      <c r="C35" s="104"/>
      <c r="D35" s="104"/>
      <c r="E35" s="104"/>
      <c r="F35" s="105"/>
      <c r="G35" s="26">
        <f>(G29+G30-G31)*(1+'Fane 15. Nøgletal'!C12)</f>
        <v>104656736.25343767</v>
      </c>
      <c r="H35" s="14" t="s">
        <v>3</v>
      </c>
      <c r="I35" s="1"/>
    </row>
    <row r="36" spans="1:9" x14ac:dyDescent="0.25">
      <c r="A36" s="1"/>
      <c r="B36" s="103" t="s">
        <v>156</v>
      </c>
      <c r="C36" s="104"/>
      <c r="D36" s="104"/>
      <c r="E36" s="104"/>
      <c r="F36" s="105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103" t="s">
        <v>121</v>
      </c>
      <c r="C37" s="104"/>
      <c r="D37" s="104"/>
      <c r="E37" s="104"/>
      <c r="F37" s="105"/>
      <c r="G37" s="26">
        <f>(G35+G36)*'Fane 15. Nøgletal'!C20</f>
        <v>2972251.3095976301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130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3" t="s">
        <v>123</v>
      </c>
      <c r="C41" s="104"/>
      <c r="D41" s="104"/>
      <c r="E41" s="104"/>
      <c r="F41" s="105"/>
      <c r="G41" s="26">
        <f>(G35+G36-G37)*(1+'Fane 15. Nøgletal'!C12)</f>
        <v>103687669.2972337</v>
      </c>
      <c r="H41" s="14" t="s">
        <v>3</v>
      </c>
      <c r="I41" s="1"/>
    </row>
    <row r="42" spans="1:9" x14ac:dyDescent="0.25">
      <c r="A42" s="1"/>
      <c r="B42" s="103" t="s">
        <v>157</v>
      </c>
      <c r="C42" s="104"/>
      <c r="D42" s="104"/>
      <c r="E42" s="104"/>
      <c r="F42" s="105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103" t="s">
        <v>122</v>
      </c>
      <c r="C43" s="104"/>
      <c r="D43" s="104"/>
      <c r="E43" s="104"/>
      <c r="F43" s="105"/>
      <c r="G43" s="26">
        <f>(G41+G42)*'Fane 15. Nøgletal'!C20</f>
        <v>2944729.8080414371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9aitI5ltTgvhdMILbJE92jibaQOIBhbdQcYuFMWCqIDi15Z/sHMzy9dalk45EOGUnT3EksBzbsor1AqjNkKMXQ==" saltValue="jPk28hn0mDTlSbGJ2AvcEg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148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3" t="s">
        <v>131</v>
      </c>
      <c r="C9" s="104"/>
      <c r="D9" s="104"/>
      <c r="E9" s="104"/>
      <c r="F9" s="105"/>
      <c r="G9" s="25">
        <v>8.3205847145172984E-3</v>
      </c>
      <c r="H9" s="14"/>
      <c r="I9" s="1"/>
    </row>
    <row r="10" spans="1:9" x14ac:dyDescent="0.25">
      <c r="A10" s="1"/>
      <c r="B10" s="103" t="s">
        <v>132</v>
      </c>
      <c r="C10" s="104"/>
      <c r="D10" s="104"/>
      <c r="E10" s="104"/>
      <c r="F10" s="105"/>
      <c r="G10" s="25">
        <v>1.3492502613780913E-2</v>
      </c>
      <c r="H10" s="14"/>
      <c r="I10" s="1"/>
    </row>
    <row r="11" spans="1:9" x14ac:dyDescent="0.25">
      <c r="A11" s="1"/>
      <c r="B11" s="103" t="s">
        <v>133</v>
      </c>
      <c r="C11" s="104"/>
      <c r="D11" s="104"/>
      <c r="E11" s="104"/>
      <c r="F11" s="105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10" t="s">
        <v>78</v>
      </c>
      <c r="C14" s="110"/>
      <c r="D14" s="110"/>
      <c r="E14" s="110"/>
      <c r="F14" s="110"/>
      <c r="G14" s="110"/>
      <c r="H14" s="110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49WD4y/i8g1S2tXp+8WAQaqWWwU8yqVtmVVYoE28XyWIMHPXYzKqbBN6V/SovAJLL9++gTeUSGUawK3SgzU52g==" saltValue="IbzimWToqbIa8WU0bY+FY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2019-10-14T16:01:14Z</dcterms:modified>
</cp:coreProperties>
</file>