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TÅRNBYFORSYNING Spildevand (S097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E10" i="11" l="1"/>
  <c r="G8" i="30" l="1"/>
  <c r="E23" i="27" l="1"/>
  <c r="E24" i="27" s="1"/>
  <c r="E29" i="20" l="1"/>
  <c r="E23" i="20"/>
  <c r="E17" i="20"/>
  <c r="E11" i="20"/>
  <c r="E21" i="32" l="1"/>
  <c r="E12" i="32"/>
  <c r="E26" i="32" l="1"/>
  <c r="E28" i="32" s="1"/>
  <c r="C32" i="2" s="1"/>
  <c r="E28" i="20" l="1"/>
  <c r="E22" i="20"/>
  <c r="E24" i="20" s="1"/>
  <c r="C20" i="22" s="1"/>
  <c r="E16" i="20"/>
  <c r="E18" i="20" s="1"/>
  <c r="C20" i="15" s="1"/>
  <c r="E10" i="20"/>
  <c r="E12" i="20" s="1"/>
  <c r="C24" i="2" s="1"/>
  <c r="E30" i="20" l="1"/>
  <c r="C20" i="23" s="1"/>
  <c r="E20" i="40" l="1"/>
  <c r="C34" i="2" s="1"/>
  <c r="E29" i="2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G30" i="36" l="1"/>
  <c r="C11" i="15"/>
  <c r="G39" i="30"/>
  <c r="C10" i="22"/>
  <c r="C11" i="22"/>
  <c r="G36" i="36"/>
  <c r="G33" i="30"/>
  <c r="C10" i="15"/>
  <c r="G45" i="30"/>
  <c r="C10" i="23"/>
  <c r="G42" i="36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22" i="39" s="1"/>
  <c r="C23" i="15" s="1"/>
  <c r="E12" i="39"/>
  <c r="E14" i="39" s="1"/>
  <c r="C27" i="2" s="1"/>
  <c r="C20" i="39"/>
  <c r="C22" i="39" s="1"/>
  <c r="C22" i="15" s="1"/>
  <c r="C12" i="39"/>
  <c r="E30" i="39" l="1"/>
  <c r="C23" i="22" s="1"/>
  <c r="C38" i="39"/>
  <c r="C22" i="23" s="1"/>
  <c r="C30" i="39"/>
  <c r="C22" i="22" s="1"/>
  <c r="E38" i="39"/>
  <c r="C23" i="23" s="1"/>
  <c r="C14" i="39"/>
  <c r="C26" i="2" s="1"/>
  <c r="G12" i="10"/>
  <c r="G14" i="10" s="1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E19" i="27" l="1"/>
  <c r="G23" i="36"/>
  <c r="G22" i="30"/>
  <c r="E18" i="27" s="1"/>
  <c r="G26" i="30" l="1"/>
  <c r="E16" i="27"/>
  <c r="E17" i="27" s="1"/>
  <c r="E20" i="27" l="1"/>
  <c r="E31" i="27" s="1"/>
  <c r="C9" i="2" l="1"/>
  <c r="C26" i="15" l="1"/>
  <c r="F11" i="11" l="1"/>
  <c r="C10" i="37" s="1"/>
  <c r="C11" i="37" s="1"/>
  <c r="C12" i="37" s="1"/>
  <c r="C10" i="2" s="1"/>
  <c r="G11" i="11"/>
  <c r="E11" i="21" l="1"/>
  <c r="C11" i="21"/>
  <c r="E11" i="29"/>
  <c r="C11" i="29"/>
  <c r="C12" i="19"/>
  <c r="C13" i="19" s="1"/>
  <c r="E12" i="29" l="1"/>
  <c r="C15" i="2" s="1"/>
  <c r="C12" i="29"/>
  <c r="C14" i="2" s="1"/>
  <c r="C18" i="15"/>
  <c r="C22" i="2"/>
  <c r="C18" i="23"/>
  <c r="C18" i="22"/>
  <c r="C12" i="21"/>
  <c r="C12" i="2" s="1"/>
  <c r="E12" i="21"/>
  <c r="C13" i="2" s="1"/>
  <c r="G27" i="30" l="1"/>
  <c r="G28" i="30" s="1"/>
  <c r="C18" i="2" l="1"/>
  <c r="G32" i="30" l="1"/>
  <c r="G34" i="30" s="1"/>
  <c r="E11" i="11"/>
  <c r="E10" i="37" s="1"/>
  <c r="E11" i="37" s="1"/>
  <c r="E12" i="37" s="1"/>
  <c r="C11" i="2" s="1"/>
  <c r="G24" i="36" s="1"/>
  <c r="G25" i="36" s="1"/>
  <c r="C30" i="2"/>
  <c r="C14" i="15" l="1"/>
  <c r="G38" i="30" l="1"/>
  <c r="G40" i="30" s="1"/>
  <c r="C16" i="2"/>
  <c r="C17" i="2" s="1"/>
  <c r="C14" i="22" l="1"/>
  <c r="G44" i="30" l="1"/>
  <c r="C19" i="2"/>
  <c r="C20" i="2" s="1"/>
  <c r="G29" i="36"/>
  <c r="G31" i="36" s="1"/>
  <c r="C9" i="15" l="1"/>
  <c r="C35" i="2"/>
  <c r="G46" i="30"/>
  <c r="C14" i="23" s="1"/>
  <c r="G35" i="36"/>
  <c r="G37" i="36" s="1"/>
  <c r="G41" i="36" l="1"/>
  <c r="G43" i="36" s="1"/>
  <c r="C12" i="15"/>
  <c r="C13" i="15" s="1"/>
  <c r="C15" i="15"/>
  <c r="C15" i="22"/>
  <c r="C16" i="15" l="1"/>
  <c r="C27" i="15" l="1"/>
  <c r="C9" i="22"/>
  <c r="C15" i="23"/>
  <c r="C12" i="22" l="1"/>
  <c r="C13" i="22" s="1"/>
  <c r="C16" i="22" l="1"/>
  <c r="C25" i="22" l="1"/>
  <c r="C9" i="23"/>
  <c r="C12" i="23" s="1"/>
  <c r="C13" i="23" s="1"/>
  <c r="C16" i="23" s="1"/>
  <c r="C25" i="23" s="1"/>
</calcChain>
</file>

<file path=xl/sharedStrings.xml><?xml version="1.0" encoding="utf-8"?>
<sst xmlns="http://schemas.openxmlformats.org/spreadsheetml/2006/main" count="663" uniqueCount="264">
  <si>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</si>
  <si>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</si>
  <si>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</si>
  <si>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</si>
  <si>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</si>
  <si>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</si>
  <si>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</si>
  <si>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</si>
  <si>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</si>
  <si>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</si>
  <si>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</si>
  <si>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</si>
  <si>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</si>
  <si>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</si>
  <si>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</si>
  <si>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</si>
  <si>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</si>
  <si>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</si>
  <si>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</si>
  <si>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</si>
  <si>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</si>
  <si>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</si>
  <si>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</si>
  <si>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</si>
  <si>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</si>
  <si>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</si>
  <si>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</si>
  <si>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</si>
  <si>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</si>
  <si>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</si>
  <si>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</si>
  <si>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</si>
  <si>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</si>
  <si>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</si>
  <si>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</si>
  <si>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</si>
  <si>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</si>
  <si>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</si>
  <si>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</si>
  <si>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</si>
  <si>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</si>
  <si>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</si>
  <si>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</si>
  <si>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</si>
  <si>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</si>
  <si>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</si>
  <si>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</si>
  <si>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</si>
  <si>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</si>
  <si>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</si>
  <si>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</si>
  <si>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</si>
  <si>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</si>
  <si>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</si>
  <si>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</si>
  <si>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</si>
  <si>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</si>
  <si>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</si>
  <si>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</si>
  <si>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</si>
  <si>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</si>
  <si>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</si>
  <si>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</si>
  <si>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</si>
  <si>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</si>
  <si>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</si>
  <si>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</si>
  <si>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</si>
  <si>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</si>
  <si>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</si>
  <si>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</si>
  <si>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</si>
  <si>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</si>
  <si>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</si>
  <si>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</si>
  <si>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</si>
  <si>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</si>
  <si>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</si>
  <si>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Beregningen af jeres individuelle effektiviseringskrav fremgår af metodepapir samt bilag til benchmarkingmodellen 2020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</si>
  <si>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</si>
  <si>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</si>
  <si>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</si>
  <si>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</si>
  <si>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</si>
  <si>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</si>
  <si>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</si>
  <si>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</si>
  <si>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</si>
  <si>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</si>
  <si>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</si>
  <si>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</si>
  <si>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</si>
  <si>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</si>
  <si>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</si>
  <si>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</si>
  <si>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</si>
  <si>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</si>
  <si>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</si>
  <si>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</si>
  <si>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</si>
  <si>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</si>
  <si>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</si>
  <si>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</si>
  <si>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</si>
  <si>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</si>
  <si>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</si>
  <si>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</si>
  <si>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</si>
  <si>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</si>
  <si>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</si>
  <si>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</si>
  <si>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</si>
  <si>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</si>
  <si>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</si>
  <si>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</si>
  <si>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</si>
  <si>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</si>
  <si>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</si>
  <si>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</si>
  <si>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</si>
  <si>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</si>
  <si>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</si>
  <si>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</si>
  <si>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</si>
  <si>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</si>
  <si>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</si>
  <si>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</si>
  <si>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</si>
  <si>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</si>
  <si>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</si>
  <si>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</si>
  <si>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</si>
  <si>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</si>
  <si>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</si>
  <si>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</si>
  <si>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</si>
  <si>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</si>
  <si>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</si>
  <si>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</si>
  <si>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</si>
  <si>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</si>
  <si>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</si>
  <si>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</si>
  <si>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</si>
  <si>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</si>
  <si>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</si>
  <si>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</si>
  <si>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</si>
  <si>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</si>
  <si>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</si>
  <si>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</si>
  <si>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</si>
  <si>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</si>
  <si>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</si>
  <si>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</si>
  <si>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</si>
  <si>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</si>
  <si>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</si>
  <si>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</si>
  <si>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</si>
  <si>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</si>
  <si>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</si>
  <si>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</si>
  <si>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</si>
  <si>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</si>
  <si>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</si>
  <si>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</si>
  <si>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</si>
  <si>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</si>
  <si>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</si>
  <si>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</si>
  <si>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</si>
  <si>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Til økonomisk ramme for 2020 og 2021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</si>
  <si>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</si>
  <si>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</si>
  <si>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</si>
  <si>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</si>
  <si>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</si>
  <si>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</si>
  <si>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Til indregning i de økonomiske rammer for 2020-2021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</si>
  <si>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</si>
  <si>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</si>
  <si>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</si>
  <si>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</si>
  <si>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</si>
  <si>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</si>
  <si>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</si>
  <si>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</si>
  <si>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</si>
  <si>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</si>
  <si>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</si>
  <si>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</si>
  <si>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</si>
  <si>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</si>
  <si>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</si>
  <si>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</si>
  <si>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</si>
  <si>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</si>
  <si>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</si>
  <si>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</si>
  <si>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</si>
  <si>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</si>
  <si>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</si>
  <si>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</si>
  <si>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</si>
  <si>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</si>
  <si>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</si>
  <si>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</si>
  <si>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</si>
  <si>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Fradrag for kontrol af den økonomiske ramme for 2018</t>
  </si>
  <si>
    <t>Tidligere godkendt tillæg indregnet i den økonomiske ramme for 2018</t>
  </si>
  <si>
    <t>Faktisk omkostning til medfinansiering af klimatilpasningsprojekter i 2018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</si>
  <si>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</si>
  <si>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</si>
  <si>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</si>
  <si>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</si>
  <si>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</si>
  <si>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</si>
  <si>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</si>
  <si>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</si>
  <si>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</si>
  <si>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14: Historisk over- eller underdækning</t>
  </si>
  <si>
    <t>Fane 13: Bortfald eller nedsættelse af omkostninger til mål, medfinansiering eller udvidelse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</si>
  <si>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</si>
  <si>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</si>
  <si>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</si>
  <si>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</si>
  <si>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</si>
  <si>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</si>
  <si>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</si>
  <si>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</si>
  <si>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</si>
  <si>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</si>
  <si>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</si>
  <si>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</si>
  <si>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</si>
  <si>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</si>
  <si>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</si>
  <si>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Effektiviseringskrav af periodevise driftsomkostninger</t>
  </si>
  <si>
    <t>Periodevise driftsomkostninger i den økonomiske ramme for 2019</t>
  </si>
  <si>
    <t>Periodevise driftsomkostninger i den økonomiske ramme for 2019 i alt</t>
  </si>
  <si>
    <t>Fane 3</t>
  </si>
  <si>
    <t>Periodevise driftsomkostninger i den økonomiske ramme for 2017</t>
  </si>
  <si>
    <t>Fane 3: Videreførte omkostninger fra den økonomiske ramme for 2019</t>
  </si>
  <si>
    <t>Korrektion af driftsomkostninger i grundlaget</t>
  </si>
  <si>
    <t>Korrektion af anlægsomkostninger i grundlaget</t>
  </si>
  <si>
    <t>Fane 2.3: Samlet økonomisk ramme for 2022</t>
  </si>
  <si>
    <t>Fane 2.4: Samlet økonomisk ramme for 2023</t>
  </si>
  <si>
    <t>Fane 15: Nøgletal</t>
  </si>
  <si>
    <t>Korrektion af tidligere rammer</t>
  </si>
  <si>
    <t>Tillæg/fradrag for korrektion af tidligere rammer</t>
  </si>
  <si>
    <t>Fradrag i de økonomiske rammer for 2020-2021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</si>
  <si>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</si>
  <si>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</si>
  <si>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</si>
  <si>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</si>
  <si>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</si>
  <si>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</si>
  <si>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</si>
  <si>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Spildevandsafgift</t>
  </si>
  <si>
    <t>Afgift til Forsyningssekretariatet</t>
  </si>
  <si>
    <t>Ingen engangstillæg</t>
  </si>
  <si>
    <t>Ø 200 mm &lt; Ledningsnet ≤ Ø 500 mm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</si>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</sst>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172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52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23</v>
      </c>
      <c r="D14" s="69" t="s">
        <v>54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51</v>
      </c>
      <c r="D15" s="69" t="s">
        <v>135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53</v>
      </c>
      <c r="D16" s="69" t="s">
        <v>136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241</v>
      </c>
      <c r="D17" s="69" t="s">
        <v>63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212</v>
      </c>
      <c r="D18" s="63" t="s">
        <v>180</v>
      </c>
      <c r="E18" s="64"/>
      <c r="F18" s="64"/>
      <c r="G18" s="65"/>
      <c r="H18" s="1"/>
      <c r="I18" s="1"/>
    </row>
    <row r="19" spans="1:9" x14ac:dyDescent="0.25">
      <c r="A19" s="1"/>
      <c r="B19" s="1"/>
      <c r="C19" s="6" t="s">
        <v>213</v>
      </c>
      <c r="D19" s="63" t="s">
        <v>181</v>
      </c>
      <c r="E19" s="64"/>
      <c r="F19" s="64"/>
      <c r="G19" s="65"/>
      <c r="H19" s="1"/>
      <c r="I19" s="1"/>
    </row>
    <row r="20" spans="1:9" x14ac:dyDescent="0.25">
      <c r="A20" s="1"/>
      <c r="B20" s="1"/>
      <c r="C20" s="6" t="s">
        <v>7</v>
      </c>
      <c r="D20" s="63" t="s">
        <v>10</v>
      </c>
      <c r="E20" s="64"/>
      <c r="F20" s="64"/>
      <c r="G20" s="65"/>
      <c r="H20" s="1"/>
      <c r="I20" s="1"/>
    </row>
    <row r="21" spans="1:9" x14ac:dyDescent="0.25">
      <c r="A21" s="1"/>
      <c r="B21" s="1"/>
      <c r="C21" s="6" t="s">
        <v>214</v>
      </c>
      <c r="D21" s="73" t="s">
        <v>17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142</v>
      </c>
      <c r="D22" s="57" t="s">
        <v>176</v>
      </c>
      <c r="E22" s="58"/>
      <c r="F22" s="58"/>
      <c r="G22" s="59"/>
      <c r="H22" s="1"/>
      <c r="I22" s="1"/>
    </row>
    <row r="23" spans="1:9" x14ac:dyDescent="0.25">
      <c r="A23" s="1"/>
      <c r="B23" s="1"/>
      <c r="C23" s="6" t="s">
        <v>8</v>
      </c>
      <c r="D23" s="57" t="s">
        <v>249</v>
      </c>
      <c r="E23" s="58"/>
      <c r="F23" s="58"/>
      <c r="G23" s="59"/>
      <c r="H23" s="1"/>
      <c r="I23" s="1"/>
    </row>
    <row r="24" spans="1:9" x14ac:dyDescent="0.25">
      <c r="A24" s="1"/>
      <c r="B24" s="1"/>
      <c r="C24" s="6" t="s">
        <v>9</v>
      </c>
      <c r="D24" s="57" t="s">
        <v>55</v>
      </c>
      <c r="E24" s="58"/>
      <c r="F24" s="58"/>
      <c r="G24" s="59"/>
      <c r="H24" s="1"/>
      <c r="I24" s="1"/>
    </row>
    <row r="25" spans="1:9" x14ac:dyDescent="0.25">
      <c r="A25" s="1"/>
      <c r="B25" s="1"/>
      <c r="C25" s="6" t="s">
        <v>215</v>
      </c>
      <c r="D25" s="57" t="s">
        <v>143</v>
      </c>
      <c r="E25" s="58"/>
      <c r="F25" s="58"/>
      <c r="G25" s="59"/>
      <c r="H25" s="1"/>
      <c r="I25" s="1"/>
    </row>
    <row r="26" spans="1:9" x14ac:dyDescent="0.25">
      <c r="A26" s="1"/>
      <c r="B26" s="1"/>
      <c r="C26" s="6" t="s">
        <v>216</v>
      </c>
      <c r="D26" s="57" t="s">
        <v>144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217</v>
      </c>
      <c r="D27" s="57" t="s">
        <v>145</v>
      </c>
      <c r="E27" s="58"/>
      <c r="F27" s="58"/>
      <c r="G27" s="59"/>
      <c r="H27" s="1"/>
      <c r="I27" s="1"/>
    </row>
    <row r="28" spans="1:9" x14ac:dyDescent="0.25">
      <c r="A28" s="1"/>
      <c r="B28" s="1"/>
      <c r="C28" s="6" t="s">
        <v>22</v>
      </c>
      <c r="D28" s="57" t="s">
        <v>56</v>
      </c>
      <c r="E28" s="58"/>
      <c r="F28" s="58"/>
      <c r="G28" s="59"/>
      <c r="H28" s="1"/>
      <c r="I28" s="1"/>
    </row>
    <row r="29" spans="1:9" x14ac:dyDescent="0.25">
      <c r="A29" s="1"/>
      <c r="B29" s="1"/>
      <c r="C29" s="6" t="s">
        <v>58</v>
      </c>
      <c r="D29" s="57" t="s">
        <v>57</v>
      </c>
      <c r="E29" s="58"/>
      <c r="F29" s="58"/>
      <c r="G29" s="59"/>
      <c r="H29" s="1"/>
      <c r="I29" s="1"/>
    </row>
    <row r="30" spans="1:9" x14ac:dyDescent="0.25">
      <c r="A30" s="1"/>
      <c r="B30" s="1"/>
      <c r="C30" s="6" t="s">
        <v>59</v>
      </c>
      <c r="D30" s="66" t="s">
        <v>11</v>
      </c>
      <c r="E30" s="67"/>
      <c r="F30" s="67"/>
      <c r="G30" s="68"/>
      <c r="H30" s="1"/>
      <c r="I30" s="1"/>
    </row>
    <row r="31" spans="1:9" x14ac:dyDescent="0.25">
      <c r="A31" s="1"/>
      <c r="B31" s="1"/>
      <c r="C31" s="6" t="s">
        <v>175</v>
      </c>
      <c r="D31" s="60" t="s">
        <v>207</v>
      </c>
      <c r="E31" s="61"/>
      <c r="F31" s="61"/>
      <c r="G31" s="62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XU0Le8tXhy8JY8FxLQnICv6SE1HR/Kq7e0cgRRAEkXSKvcfL/ugXDAw5iOuYAp9aHKZqG2BQP5G0bOk+3woCRg==" saltValue="FBZQ485Z7Q0kkElrK/owAA==" spinCount="100000" sheet="1" objects="1" scenarios="1"/>
  <mergeCells count="22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1:G31"/>
    <mergeCell ref="D18:G18"/>
    <mergeCell ref="D24:G24"/>
    <mergeCell ref="D25:G25"/>
    <mergeCell ref="D28:G28"/>
    <mergeCell ref="D26:G26"/>
    <mergeCell ref="D27:G27"/>
    <mergeCell ref="D23:G23"/>
    <mergeCell ref="D30:G30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30:G30" location="'Fane 14. Hist. over-underdæk.'!A1" display="Historisk over- eller underdækning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8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220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3" t="s">
        <v>66</v>
      </c>
      <c r="C8" s="84"/>
      <c r="D8" s="85"/>
      <c r="E8" s="1"/>
      <c r="F8" s="1"/>
    </row>
    <row r="9" spans="1:6" ht="15" customHeight="1" x14ac:dyDescent="0.25">
      <c r="A9" s="1"/>
      <c r="B9" s="33" t="s">
        <v>49</v>
      </c>
      <c r="C9" s="11" t="s">
        <v>67</v>
      </c>
      <c r="D9" s="11"/>
      <c r="E9" s="1"/>
      <c r="F9" s="1"/>
    </row>
    <row r="10" spans="1:6" x14ac:dyDescent="0.25">
      <c r="A10" s="1"/>
      <c r="B10" s="53" t="s">
        <v>259</v>
      </c>
      <c r="C10" s="9">
        <v>1249882</v>
      </c>
      <c r="D10" s="14" t="s">
        <v>3</v>
      </c>
      <c r="E10" s="1"/>
      <c r="F10" s="1"/>
    </row>
    <row r="11" spans="1:6" x14ac:dyDescent="0.25">
      <c r="A11" s="1"/>
      <c r="B11" s="53" t="s">
        <v>260</v>
      </c>
      <c r="C11" s="9">
        <v>51391</v>
      </c>
      <c r="D11" s="14" t="s">
        <v>3</v>
      </c>
      <c r="E11" s="1"/>
      <c r="F11" s="1"/>
    </row>
    <row r="12" spans="1:6" x14ac:dyDescent="0.25">
      <c r="A12" s="1"/>
      <c r="B12" s="40" t="s">
        <v>68</v>
      </c>
      <c r="C12" s="12">
        <f>SUM(C10:C11)</f>
        <v>1301273</v>
      </c>
      <c r="D12" s="13" t="s">
        <v>3</v>
      </c>
      <c r="E12" s="1"/>
      <c r="F12" s="1"/>
    </row>
    <row r="13" spans="1:6" x14ac:dyDescent="0.25">
      <c r="A13" s="1"/>
      <c r="B13" s="40" t="s">
        <v>69</v>
      </c>
      <c r="C13" s="12">
        <f>C12*(1+'Fane 15. Nøgletal'!C12)^2</f>
        <v>1353048.1672385701</v>
      </c>
      <c r="D13" s="13" t="s">
        <v>3</v>
      </c>
      <c r="E13" s="1"/>
      <c r="F13" s="1"/>
    </row>
    <row r="14" spans="1:6" x14ac:dyDescent="0.25">
      <c r="A14" s="1"/>
      <c r="B14" s="16"/>
      <c r="C14" s="15"/>
      <c r="D14" s="15"/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83" t="s">
        <v>236</v>
      </c>
      <c r="C16" s="84"/>
      <c r="D16" s="85"/>
      <c r="E16" s="1"/>
      <c r="F16" s="1"/>
    </row>
    <row r="17" spans="1:6" x14ac:dyDescent="0.25">
      <c r="A17" s="1"/>
      <c r="B17" s="53" t="s">
        <v>197</v>
      </c>
      <c r="C17" s="9">
        <v>1945869</v>
      </c>
      <c r="D17" s="14" t="s">
        <v>3</v>
      </c>
      <c r="E17" s="1"/>
      <c r="F17" s="1"/>
    </row>
    <row r="18" spans="1:6" x14ac:dyDescent="0.25">
      <c r="A18" s="1"/>
      <c r="B18" s="53" t="s">
        <v>198</v>
      </c>
      <c r="C18" s="9">
        <v>1945869</v>
      </c>
      <c r="D18" s="14" t="s">
        <v>3</v>
      </c>
      <c r="E18" s="1"/>
      <c r="F18" s="1"/>
    </row>
    <row r="19" spans="1:6" x14ac:dyDescent="0.25">
      <c r="A19" s="1"/>
      <c r="B19" s="53" t="s">
        <v>199</v>
      </c>
      <c r="C19" s="9">
        <v>1945869</v>
      </c>
      <c r="D19" s="14" t="s">
        <v>3</v>
      </c>
      <c r="E19" s="1"/>
      <c r="F19" s="1"/>
    </row>
    <row r="20" spans="1:6" x14ac:dyDescent="0.25">
      <c r="A20" s="1"/>
      <c r="B20" s="53" t="s">
        <v>200</v>
      </c>
      <c r="C20" s="9">
        <v>1945869</v>
      </c>
      <c r="D20" s="14" t="s">
        <v>3</v>
      </c>
      <c r="E20" s="1"/>
      <c r="F20" s="1"/>
    </row>
    <row r="21" spans="1:6" x14ac:dyDescent="0.25">
      <c r="A21" s="1"/>
      <c r="B21" s="83"/>
      <c r="C21" s="84"/>
      <c r="D21" s="85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83" t="s">
        <v>196</v>
      </c>
      <c r="C24" s="84"/>
      <c r="D24" s="85"/>
      <c r="E24" s="1"/>
      <c r="F24" s="1"/>
    </row>
    <row r="25" spans="1:6" x14ac:dyDescent="0.25">
      <c r="A25" s="1"/>
      <c r="B25" s="53" t="s">
        <v>197</v>
      </c>
      <c r="C25" s="9">
        <v>0</v>
      </c>
      <c r="D25" s="14" t="s">
        <v>3</v>
      </c>
      <c r="E25" s="1"/>
      <c r="F25" s="1"/>
    </row>
    <row r="26" spans="1:6" x14ac:dyDescent="0.25">
      <c r="A26" s="1"/>
      <c r="B26" s="53" t="s">
        <v>198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3" t="s">
        <v>199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3" t="s">
        <v>200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83"/>
      <c r="C29" s="84"/>
      <c r="D29" s="85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</sheetData>
  <sheetProtection algorithmName="SHA-512" hashValue="SqRlHe3tVj5iodvr8TWOpM5oA2yZaIlPfuNcp1y/4VIEPCu1cmzM3f5h9jdi7PFPJsPyKMB3X1IcuWXWB9HSbQ==" saltValue="HlaeopQWH+Sxde9dzMaEYw==" spinCount="100000" sheet="1" objects="1" scenarios="1"/>
  <mergeCells count="6">
    <mergeCell ref="B29:D29"/>
    <mergeCell ref="B3:D4"/>
    <mergeCell ref="B8:D8"/>
    <mergeCell ref="B16:D16"/>
    <mergeCell ref="B24:D24"/>
    <mergeCell ref="B21:D21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226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ht="15" customHeight="1" x14ac:dyDescent="0.25">
      <c r="A5" s="1"/>
      <c r="B5" s="46"/>
      <c r="C5" s="46"/>
      <c r="D5" s="46"/>
      <c r="E5" s="46"/>
      <c r="F5" s="46"/>
      <c r="G5" s="1"/>
    </row>
    <row r="6" spans="1:7" ht="15" customHeight="1" x14ac:dyDescent="0.25">
      <c r="A6" s="1"/>
      <c r="B6" s="46"/>
      <c r="C6" s="46"/>
      <c r="D6" s="46"/>
      <c r="E6" s="46"/>
      <c r="F6" s="46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183</v>
      </c>
      <c r="C8" s="84"/>
      <c r="D8" s="84"/>
      <c r="E8" s="84"/>
      <c r="F8" s="85"/>
      <c r="G8" s="1"/>
    </row>
    <row r="9" spans="1:7" x14ac:dyDescent="0.25">
      <c r="A9" s="1"/>
      <c r="B9" s="96" t="s">
        <v>184</v>
      </c>
      <c r="C9" s="97"/>
      <c r="D9" s="98"/>
      <c r="E9" s="9">
        <v>54573701.85020081</v>
      </c>
      <c r="F9" s="14" t="s">
        <v>3</v>
      </c>
      <c r="G9" s="1"/>
    </row>
    <row r="10" spans="1:7" x14ac:dyDescent="0.25">
      <c r="A10" s="1"/>
      <c r="B10" s="96" t="s">
        <v>185</v>
      </c>
      <c r="C10" s="97"/>
      <c r="D10" s="98"/>
      <c r="E10" s="9">
        <v>53884939</v>
      </c>
      <c r="F10" s="14" t="s">
        <v>3</v>
      </c>
      <c r="G10" s="1"/>
    </row>
    <row r="11" spans="1:7" x14ac:dyDescent="0.25">
      <c r="A11" s="1"/>
      <c r="B11" s="96" t="s">
        <v>50</v>
      </c>
      <c r="C11" s="97"/>
      <c r="D11" s="98"/>
      <c r="E11" s="9">
        <v>0</v>
      </c>
      <c r="F11" s="14" t="s">
        <v>3</v>
      </c>
      <c r="G11" s="1"/>
    </row>
    <row r="12" spans="1:7" x14ac:dyDescent="0.25">
      <c r="A12" s="1"/>
      <c r="B12" s="86" t="s">
        <v>186</v>
      </c>
      <c r="C12" s="87"/>
      <c r="D12" s="88"/>
      <c r="E12" s="10">
        <f>E9-(E10-E11)</f>
        <v>688762.85020080954</v>
      </c>
      <c r="F12" s="17" t="s">
        <v>3</v>
      </c>
      <c r="G12" s="1"/>
    </row>
    <row r="13" spans="1:7" x14ac:dyDescent="0.25">
      <c r="A13" s="1"/>
      <c r="B13" s="40"/>
      <c r="C13" s="34"/>
      <c r="D13" s="34"/>
      <c r="E13" s="34"/>
      <c r="F13" s="22"/>
      <c r="G13" s="1"/>
    </row>
    <row r="14" spans="1:7" ht="27" customHeight="1" x14ac:dyDescent="0.25">
      <c r="A14" s="1"/>
      <c r="B14" s="80" t="s">
        <v>208</v>
      </c>
      <c r="C14" s="81"/>
      <c r="D14" s="81"/>
      <c r="E14" s="81"/>
      <c r="F14" s="82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83" t="s">
        <v>73</v>
      </c>
      <c r="C17" s="84"/>
      <c r="D17" s="84"/>
      <c r="E17" s="84"/>
      <c r="F17" s="85"/>
      <c r="G17" s="1"/>
    </row>
    <row r="18" spans="1:7" x14ac:dyDescent="0.25">
      <c r="A18" s="1"/>
      <c r="B18" s="96" t="s">
        <v>74</v>
      </c>
      <c r="C18" s="97"/>
      <c r="D18" s="98"/>
      <c r="E18" s="9">
        <v>56708896.741420299</v>
      </c>
      <c r="F18" s="14" t="s">
        <v>3</v>
      </c>
      <c r="G18" s="1"/>
    </row>
    <row r="19" spans="1:7" x14ac:dyDescent="0.25">
      <c r="A19" s="1"/>
      <c r="B19" s="96" t="s">
        <v>75</v>
      </c>
      <c r="C19" s="97"/>
      <c r="D19" s="98"/>
      <c r="E19" s="9">
        <v>58620476</v>
      </c>
      <c r="F19" s="14" t="s">
        <v>3</v>
      </c>
      <c r="G19" s="1"/>
    </row>
    <row r="20" spans="1:7" x14ac:dyDescent="0.25">
      <c r="A20" s="1"/>
      <c r="B20" s="96" t="s">
        <v>50</v>
      </c>
      <c r="C20" s="97"/>
      <c r="D20" s="98"/>
      <c r="E20" s="9">
        <v>0</v>
      </c>
      <c r="F20" s="14" t="s">
        <v>3</v>
      </c>
      <c r="G20" s="1"/>
    </row>
    <row r="21" spans="1:7" x14ac:dyDescent="0.25">
      <c r="A21" s="1"/>
      <c r="B21" s="86" t="s">
        <v>76</v>
      </c>
      <c r="C21" s="87"/>
      <c r="D21" s="88"/>
      <c r="E21" s="10">
        <f>E18-(E19-E20)</f>
        <v>-1911579.2585797012</v>
      </c>
      <c r="F21" s="17" t="s">
        <v>3</v>
      </c>
      <c r="G21" s="1"/>
    </row>
    <row r="22" spans="1:7" x14ac:dyDescent="0.25">
      <c r="A22" s="1"/>
      <c r="B22" s="40"/>
      <c r="C22" s="34"/>
      <c r="D22" s="34"/>
      <c r="E22" s="34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83" t="s">
        <v>179</v>
      </c>
      <c r="C25" s="84"/>
      <c r="D25" s="84"/>
      <c r="E25" s="84"/>
      <c r="F25" s="85"/>
      <c r="G25" s="1"/>
    </row>
    <row r="26" spans="1:7" x14ac:dyDescent="0.25">
      <c r="A26" s="1"/>
      <c r="B26" s="104" t="s">
        <v>174</v>
      </c>
      <c r="C26" s="105"/>
      <c r="D26" s="106"/>
      <c r="E26" s="9">
        <f>IF(E12+E21&lt;0,E12+E21,0)</f>
        <v>-1222816.4083788916</v>
      </c>
      <c r="F26" s="14" t="s">
        <v>3</v>
      </c>
      <c r="G26" s="1"/>
    </row>
    <row r="27" spans="1:7" x14ac:dyDescent="0.25">
      <c r="A27" s="1"/>
      <c r="B27" s="104" t="s">
        <v>204</v>
      </c>
      <c r="C27" s="105"/>
      <c r="D27" s="106"/>
      <c r="E27" s="9">
        <v>2</v>
      </c>
      <c r="F27" s="14" t="s">
        <v>28</v>
      </c>
      <c r="G27" s="1"/>
    </row>
    <row r="28" spans="1:7" x14ac:dyDescent="0.25">
      <c r="A28" s="1"/>
      <c r="B28" s="86" t="s">
        <v>251</v>
      </c>
      <c r="C28" s="87"/>
      <c r="D28" s="88"/>
      <c r="E28" s="10">
        <f>E26/E27</f>
        <v>-611408.20418944582</v>
      </c>
      <c r="F28" s="17" t="s">
        <v>3</v>
      </c>
      <c r="G28" s="1"/>
    </row>
    <row r="29" spans="1:7" x14ac:dyDescent="0.25">
      <c r="A29" s="1"/>
      <c r="B29" s="107"/>
      <c r="C29" s="108"/>
      <c r="D29" s="108"/>
      <c r="E29" s="108"/>
      <c r="F29" s="109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8wxdaSiVI0cASjGmFiSk0gFZPuwZE3nAAamurTq2Rk5O5hpYyCXS+bfHt6SKG7M5rdz18tqa7LBjKnGlufmizA==" saltValue="RFUpSO1DLBTXkbFUCrUtDQ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9:F29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2" t="s">
        <v>252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3" t="s">
        <v>177</v>
      </c>
      <c r="C9" s="84"/>
      <c r="D9" s="84"/>
      <c r="E9" s="84"/>
      <c r="F9" s="84"/>
      <c r="G9" s="1"/>
    </row>
    <row r="10" spans="1:7" x14ac:dyDescent="0.25">
      <c r="A10" s="1"/>
      <c r="B10" s="80" t="s">
        <v>201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6" t="s">
        <v>202</v>
      </c>
      <c r="C11" s="97"/>
      <c r="D11" s="98"/>
      <c r="E11" s="7">
        <v>0</v>
      </c>
      <c r="F11" s="8" t="s">
        <v>3</v>
      </c>
      <c r="G11" s="1"/>
    </row>
    <row r="12" spans="1:7" x14ac:dyDescent="0.25">
      <c r="A12" s="1"/>
      <c r="B12" s="86" t="s">
        <v>203</v>
      </c>
      <c r="C12" s="87"/>
      <c r="D12" s="88"/>
      <c r="E12" s="10">
        <f>E11-E10</f>
        <v>0</v>
      </c>
      <c r="F12" s="11" t="s">
        <v>3</v>
      </c>
      <c r="G12" s="1"/>
    </row>
    <row r="13" spans="1:7" x14ac:dyDescent="0.25">
      <c r="A13" s="1"/>
      <c r="B13" s="83" t="s">
        <v>178</v>
      </c>
      <c r="C13" s="84"/>
      <c r="D13" s="84"/>
      <c r="E13" s="84"/>
      <c r="F13" s="84"/>
      <c r="G13" s="1"/>
    </row>
    <row r="14" spans="1:7" x14ac:dyDescent="0.25">
      <c r="A14" s="1"/>
      <c r="B14" s="96" t="s">
        <v>210</v>
      </c>
      <c r="C14" s="97"/>
      <c r="D14" s="98"/>
      <c r="E14" s="9">
        <v>2887448</v>
      </c>
      <c r="F14" s="8" t="s">
        <v>3</v>
      </c>
      <c r="G14" s="1"/>
    </row>
    <row r="15" spans="1:7" x14ac:dyDescent="0.25">
      <c r="A15" s="1"/>
      <c r="B15" s="80" t="s">
        <v>211</v>
      </c>
      <c r="C15" s="81"/>
      <c r="D15" s="82"/>
      <c r="E15" s="9">
        <v>2240396</v>
      </c>
      <c r="F15" s="8" t="s">
        <v>3</v>
      </c>
      <c r="G15" s="1"/>
    </row>
    <row r="16" spans="1:7" x14ac:dyDescent="0.25">
      <c r="A16" s="1"/>
      <c r="B16" s="86" t="s">
        <v>203</v>
      </c>
      <c r="C16" s="87"/>
      <c r="D16" s="88"/>
      <c r="E16" s="10">
        <f>E15-E14</f>
        <v>-647052</v>
      </c>
      <c r="F16" s="11" t="s">
        <v>3</v>
      </c>
      <c r="G16" s="1"/>
    </row>
    <row r="17" spans="1:7" ht="15" customHeight="1" x14ac:dyDescent="0.25">
      <c r="A17" s="1"/>
      <c r="B17" s="83" t="s">
        <v>173</v>
      </c>
      <c r="C17" s="84"/>
      <c r="D17" s="84"/>
      <c r="E17" s="84"/>
      <c r="F17" s="84"/>
      <c r="G17" s="1"/>
    </row>
    <row r="18" spans="1:7" ht="28.15" customHeight="1" x14ac:dyDescent="0.25">
      <c r="A18" s="1"/>
      <c r="B18" s="80" t="s">
        <v>258</v>
      </c>
      <c r="C18" s="81"/>
      <c r="D18" s="82"/>
      <c r="E18" s="9">
        <v>0</v>
      </c>
      <c r="F18" s="8" t="s">
        <v>3</v>
      </c>
      <c r="G18" s="1"/>
    </row>
    <row r="19" spans="1:7" ht="29.25" customHeight="1" x14ac:dyDescent="0.25">
      <c r="A19" s="1"/>
      <c r="B19" s="89" t="s">
        <v>182</v>
      </c>
      <c r="C19" s="90"/>
      <c r="D19" s="91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0" t="s">
        <v>194</v>
      </c>
      <c r="C20" s="34"/>
      <c r="D20" s="34"/>
      <c r="E20" s="12">
        <f>E12+E16+E19</f>
        <v>-647052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WF4yPg71W+NbB9WPEXQie9BZcNupO7ysFyOJIysulaOQSfcIWGluMZjluy5XoqYqStZ5MttTW+vXcH7aHnf0w==" saltValue="BFH6OZw7LT2eNx3FSyY9tA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253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254</v>
      </c>
      <c r="C8" s="84"/>
      <c r="D8" s="84"/>
      <c r="E8" s="84"/>
      <c r="F8" s="84"/>
      <c r="G8" s="84"/>
      <c r="H8" s="8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39"/>
      <c r="I9" s="1"/>
    </row>
    <row r="10" spans="1:9" ht="26.25" x14ac:dyDescent="0.25">
      <c r="A10" s="1"/>
      <c r="B10" s="55" t="s">
        <v>262</v>
      </c>
      <c r="C10" s="56">
        <v>75</v>
      </c>
      <c r="D10" s="9">
        <v>3347265</v>
      </c>
      <c r="E10" s="9">
        <f>IFERROR(D10/C10,0)</f>
        <v>44630.2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83" t="s">
        <v>255</v>
      </c>
      <c r="C11" s="84"/>
      <c r="D11" s="85"/>
      <c r="E11" s="12">
        <f>SUM(E10:E10)</f>
        <v>44630.2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YAqXHeFi9q/306jrpZU95SNtvu5wO8idq4Wl+4W90Pb6jaBn0QZ37FX2QRlejE5KVuOMU4hXGwi1FY2wiU14Lg==" saltValue="OZMaDLKrn7Dbc1L+644Eo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225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139</v>
      </c>
      <c r="C8" s="34"/>
      <c r="D8" s="34"/>
      <c r="E8" s="34"/>
      <c r="F8" s="22"/>
      <c r="G8" s="1"/>
    </row>
    <row r="9" spans="1:7" ht="17.25" customHeight="1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263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44630.2</v>
      </c>
      <c r="F10" s="14" t="s">
        <v>3</v>
      </c>
      <c r="G10" s="1"/>
    </row>
    <row r="11" spans="1:7" x14ac:dyDescent="0.25">
      <c r="A11" s="1"/>
      <c r="B11" s="40" t="s">
        <v>60</v>
      </c>
      <c r="C11" s="12">
        <f>SUM(C10:C10)</f>
        <v>0</v>
      </c>
      <c r="D11" s="13" t="s">
        <v>3</v>
      </c>
      <c r="E11" s="12">
        <f>SUM(E10:E10)</f>
        <v>44630.2</v>
      </c>
      <c r="F11" s="13" t="s">
        <v>3</v>
      </c>
      <c r="G11" s="1"/>
    </row>
    <row r="12" spans="1:7" x14ac:dyDescent="0.25">
      <c r="A12" s="1"/>
      <c r="B12" s="40" t="s">
        <v>70</v>
      </c>
      <c r="C12" s="12">
        <f>C11*(1+'Fane 15. Nøgletal'!C12)</f>
        <v>0</v>
      </c>
      <c r="D12" s="13" t="s">
        <v>3</v>
      </c>
      <c r="E12" s="12">
        <f>E11*(1+'Fane 15. Nøgletal'!C12)</f>
        <v>45509.414940000002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aVoAuM4Z+tJo1c6eYaAXuSHiRFjLIcbk82uDBcNMXc9aR9rY3/rejCVQ5USUkDsO6J4slJAPmplzQr7CBKC4Ug==" saltValue="l0yWO+RgEYN7WAlhCna4l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224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187</v>
      </c>
      <c r="C8" s="84"/>
      <c r="D8" s="84"/>
      <c r="E8" s="84"/>
      <c r="F8" s="85"/>
      <c r="G8" s="1"/>
    </row>
    <row r="9" spans="1:7" x14ac:dyDescent="0.25">
      <c r="A9" s="1"/>
      <c r="B9" s="51" t="s">
        <v>25</v>
      </c>
      <c r="C9" s="51" t="s">
        <v>16</v>
      </c>
      <c r="D9" s="52"/>
      <c r="E9" s="51" t="s">
        <v>48</v>
      </c>
      <c r="F9" s="39"/>
      <c r="G9" s="1"/>
    </row>
    <row r="10" spans="1:7" x14ac:dyDescent="0.25">
      <c r="A10" s="1"/>
      <c r="B10" s="27" t="s">
        <v>261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191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krav'!G11</f>
        <v>0</v>
      </c>
      <c r="D12" s="31" t="s">
        <v>3</v>
      </c>
      <c r="E12" s="30">
        <f>-E11*'Fane 5. Individuelt eff. krav'!G11</f>
        <v>0</v>
      </c>
      <c r="F12" s="31" t="s">
        <v>3</v>
      </c>
      <c r="G12" s="1"/>
    </row>
    <row r="13" spans="1:7" x14ac:dyDescent="0.25">
      <c r="A13" s="1"/>
      <c r="B13" s="29" t="s">
        <v>195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0" t="s">
        <v>192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3" t="s">
        <v>188</v>
      </c>
      <c r="C16" s="84"/>
      <c r="D16" s="84"/>
      <c r="E16" s="84"/>
      <c r="F16" s="85"/>
      <c r="G16" s="1"/>
    </row>
    <row r="17" spans="1:7" x14ac:dyDescent="0.25">
      <c r="A17" s="1"/>
      <c r="B17" s="51" t="s">
        <v>25</v>
      </c>
      <c r="C17" s="51" t="s">
        <v>16</v>
      </c>
      <c r="D17" s="52"/>
      <c r="E17" s="51" t="s">
        <v>48</v>
      </c>
      <c r="F17" s="39"/>
      <c r="G17" s="1"/>
    </row>
    <row r="18" spans="1:7" x14ac:dyDescent="0.25">
      <c r="A18" s="1"/>
      <c r="B18" s="27" t="s">
        <v>261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191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krav'!G11</f>
        <v>0</v>
      </c>
      <c r="D20" s="31" t="s">
        <v>3</v>
      </c>
      <c r="E20" s="30">
        <f>-E19*'Fane 5. Individuelt eff. krav'!G11</f>
        <v>0</v>
      </c>
      <c r="F20" s="31" t="s">
        <v>3</v>
      </c>
      <c r="G20" s="1"/>
    </row>
    <row r="21" spans="1:7" x14ac:dyDescent="0.25">
      <c r="A21" s="1"/>
      <c r="B21" s="29" t="s">
        <v>195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0" t="s">
        <v>193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3" t="s">
        <v>189</v>
      </c>
      <c r="C24" s="84"/>
      <c r="D24" s="84"/>
      <c r="E24" s="84"/>
      <c r="F24" s="85"/>
      <c r="G24" s="1"/>
    </row>
    <row r="25" spans="1:7" x14ac:dyDescent="0.25">
      <c r="A25" s="1"/>
      <c r="B25" s="51" t="s">
        <v>25</v>
      </c>
      <c r="C25" s="51" t="s">
        <v>16</v>
      </c>
      <c r="D25" s="52"/>
      <c r="E25" s="51" t="s">
        <v>48</v>
      </c>
      <c r="F25" s="39"/>
      <c r="G25" s="1"/>
    </row>
    <row r="26" spans="1:7" x14ac:dyDescent="0.25">
      <c r="A26" s="1"/>
      <c r="B26" s="27" t="s">
        <v>261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191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krav'!G11</f>
        <v>0</v>
      </c>
      <c r="D28" s="31" t="s">
        <v>3</v>
      </c>
      <c r="E28" s="30">
        <f>-E27*'Fane 5. Individuelt eff. krav'!G11</f>
        <v>0</v>
      </c>
      <c r="F28" s="31" t="s">
        <v>3</v>
      </c>
      <c r="G28" s="1"/>
    </row>
    <row r="29" spans="1:7" x14ac:dyDescent="0.25">
      <c r="A29" s="1"/>
      <c r="B29" s="29" t="s">
        <v>195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0" t="s">
        <v>193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3" t="s">
        <v>190</v>
      </c>
      <c r="C32" s="84"/>
      <c r="D32" s="84"/>
      <c r="E32" s="84"/>
      <c r="F32" s="85"/>
      <c r="G32" s="1"/>
    </row>
    <row r="33" spans="1:7" x14ac:dyDescent="0.25">
      <c r="A33" s="1"/>
      <c r="B33" s="51" t="s">
        <v>25</v>
      </c>
      <c r="C33" s="51" t="s">
        <v>16</v>
      </c>
      <c r="D33" s="52"/>
      <c r="E33" s="51" t="s">
        <v>48</v>
      </c>
      <c r="F33" s="39"/>
      <c r="G33" s="1"/>
    </row>
    <row r="34" spans="1:7" x14ac:dyDescent="0.25">
      <c r="A34" s="1"/>
      <c r="B34" s="27" t="s">
        <v>261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191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krav'!G11</f>
        <v>0</v>
      </c>
      <c r="D36" s="31" t="s">
        <v>3</v>
      </c>
      <c r="E36" s="30">
        <f>-E35*'Fane 5. Individuelt eff. krav'!G11</f>
        <v>0</v>
      </c>
      <c r="F36" s="31" t="s">
        <v>3</v>
      </c>
      <c r="G36" s="1"/>
    </row>
    <row r="37" spans="1:7" x14ac:dyDescent="0.25">
      <c r="A37" s="1"/>
      <c r="B37" s="29" t="s">
        <v>195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0" t="s">
        <v>193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OiMU3zMZzgTZuZ7Un3bWOPzEQKgef1j1nAJXmvosaLxvHRWIatlrkzrbXkgWaZpSrqUb24ZFN+yxTWmeSw2R1g==" saltValue="GI8btJ30m4g3NsQt2Y2Pe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227</v>
      </c>
      <c r="C3" s="92"/>
      <c r="D3" s="92"/>
      <c r="E3" s="92"/>
      <c r="F3" s="92"/>
      <c r="G3" s="1"/>
    </row>
    <row r="4" spans="1:7" ht="1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92"/>
      <c r="C5" s="92"/>
      <c r="D5" s="92"/>
      <c r="E5" s="92"/>
      <c r="F5" s="92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160</v>
      </c>
      <c r="C8" s="84"/>
      <c r="D8" s="84"/>
      <c r="E8" s="84"/>
      <c r="F8" s="85"/>
      <c r="G8" s="1"/>
    </row>
    <row r="9" spans="1:7" x14ac:dyDescent="0.25">
      <c r="A9" s="1"/>
      <c r="B9" s="110" t="s">
        <v>159</v>
      </c>
      <c r="C9" s="111"/>
      <c r="D9" s="112"/>
      <c r="E9" s="9">
        <v>0</v>
      </c>
      <c r="F9" s="14" t="s">
        <v>3</v>
      </c>
      <c r="G9" s="1"/>
    </row>
    <row r="10" spans="1:7" x14ac:dyDescent="0.25">
      <c r="A10" s="1"/>
      <c r="B10" s="93" t="s">
        <v>10</v>
      </c>
      <c r="C10" s="94"/>
      <c r="D10" s="95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93" t="s">
        <v>39</v>
      </c>
      <c r="C11" s="94"/>
      <c r="D11" s="95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83" t="s">
        <v>164</v>
      </c>
      <c r="C12" s="84"/>
      <c r="D12" s="85"/>
      <c r="E12" s="12">
        <f>SUM(E9:E11)*(1+'Fane 15. Nøgletal'!C12)^2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161</v>
      </c>
      <c r="C14" s="84"/>
      <c r="D14" s="84"/>
      <c r="E14" s="84"/>
      <c r="F14" s="85"/>
      <c r="G14" s="1"/>
    </row>
    <row r="15" spans="1:7" x14ac:dyDescent="0.25">
      <c r="A15" s="1"/>
      <c r="B15" s="110" t="s">
        <v>159</v>
      </c>
      <c r="C15" s="111"/>
      <c r="D15" s="112"/>
      <c r="E15" s="9">
        <v>0</v>
      </c>
      <c r="F15" s="14" t="s">
        <v>3</v>
      </c>
      <c r="G15" s="1"/>
    </row>
    <row r="16" spans="1:7" x14ac:dyDescent="0.25">
      <c r="A16" s="1"/>
      <c r="B16" s="93" t="s">
        <v>10</v>
      </c>
      <c r="C16" s="94"/>
      <c r="D16" s="95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93" t="s">
        <v>39</v>
      </c>
      <c r="C17" s="94"/>
      <c r="D17" s="95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83" t="s">
        <v>165</v>
      </c>
      <c r="C18" s="84"/>
      <c r="D18" s="85"/>
      <c r="E18" s="12">
        <f>SUM(E15:E17)*(1+'Fane 15. Nøgletal'!C12)^3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162</v>
      </c>
      <c r="C20" s="84"/>
      <c r="D20" s="84"/>
      <c r="E20" s="84"/>
      <c r="F20" s="85"/>
      <c r="G20" s="1"/>
    </row>
    <row r="21" spans="1:7" x14ac:dyDescent="0.25">
      <c r="A21" s="1"/>
      <c r="B21" s="110" t="s">
        <v>159</v>
      </c>
      <c r="C21" s="111"/>
      <c r="D21" s="112"/>
      <c r="E21" s="9">
        <v>0</v>
      </c>
      <c r="F21" s="14" t="s">
        <v>3</v>
      </c>
      <c r="G21" s="1"/>
    </row>
    <row r="22" spans="1:7" x14ac:dyDescent="0.25">
      <c r="A22" s="1"/>
      <c r="B22" s="93" t="s">
        <v>10</v>
      </c>
      <c r="C22" s="94"/>
      <c r="D22" s="95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93" t="s">
        <v>39</v>
      </c>
      <c r="C23" s="94"/>
      <c r="D23" s="95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83" t="s">
        <v>166</v>
      </c>
      <c r="C24" s="84"/>
      <c r="D24" s="8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163</v>
      </c>
      <c r="C26" s="84"/>
      <c r="D26" s="84"/>
      <c r="E26" s="84"/>
      <c r="F26" s="85"/>
      <c r="G26" s="1"/>
    </row>
    <row r="27" spans="1:7" x14ac:dyDescent="0.25">
      <c r="A27" s="1"/>
      <c r="B27" s="110" t="s">
        <v>159</v>
      </c>
      <c r="C27" s="111"/>
      <c r="D27" s="112"/>
      <c r="E27" s="9">
        <v>0</v>
      </c>
      <c r="F27" s="14" t="s">
        <v>3</v>
      </c>
      <c r="G27" s="1"/>
    </row>
    <row r="28" spans="1:7" x14ac:dyDescent="0.25">
      <c r="A28" s="1"/>
      <c r="B28" s="93" t="s">
        <v>10</v>
      </c>
      <c r="C28" s="94"/>
      <c r="D28" s="95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93" t="s">
        <v>39</v>
      </c>
      <c r="C29" s="94"/>
      <c r="D29" s="95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83" t="s">
        <v>167</v>
      </c>
      <c r="C30" s="84"/>
      <c r="D30" s="8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Cily0j8MEqa/0/Fq9jclIl7/JBWWqfIxpHXGqFh2XSBQfR7dXSnLLUJi5X5AQOSa9PhDHnZDgZEEFEIpgnJ4Kg==" saltValue="rcfOex3tW6/pyxZn+Knpx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223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32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33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5iQ6+DCTPSj3kJvjbEvb4nitqcqF5y0yUYk23Tu3FIvyXA39IyIqfGPiSlzMZ3Ixc54O84PwRdiAhmQBQ18v/Q==" saltValue="ctQRC33a5Zxn6mKNTVEZ7A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222</v>
      </c>
      <c r="C3" s="92"/>
      <c r="D3" s="92"/>
      <c r="E3" s="92"/>
      <c r="F3" s="92"/>
      <c r="G3" s="1"/>
    </row>
    <row r="4" spans="1:7" ht="25.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3" t="s">
        <v>169</v>
      </c>
      <c r="C8" s="84"/>
      <c r="D8" s="84"/>
      <c r="E8" s="84"/>
      <c r="F8" s="85"/>
      <c r="G8" s="1"/>
    </row>
    <row r="9" spans="1:7" ht="15" customHeight="1" x14ac:dyDescent="0.25">
      <c r="A9" s="1"/>
      <c r="B9" s="38" t="s">
        <v>26</v>
      </c>
      <c r="C9" s="38" t="s">
        <v>16</v>
      </c>
      <c r="D9" s="39"/>
      <c r="E9" s="38" t="s">
        <v>48</v>
      </c>
      <c r="F9" s="39"/>
      <c r="G9" s="1"/>
    </row>
    <row r="10" spans="1:7" x14ac:dyDescent="0.25">
      <c r="A10" s="1"/>
      <c r="B10" s="27" t="s">
        <v>257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71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170</v>
      </c>
      <c r="C14" s="84"/>
      <c r="D14" s="84"/>
      <c r="E14" s="84"/>
      <c r="F14" s="85"/>
      <c r="G14" s="1"/>
    </row>
    <row r="15" spans="1:7" ht="26.25" x14ac:dyDescent="0.25">
      <c r="A15" s="1"/>
      <c r="B15" s="38" t="s">
        <v>26</v>
      </c>
      <c r="C15" s="38" t="s">
        <v>16</v>
      </c>
      <c r="D15" s="39"/>
      <c r="E15" s="38" t="s">
        <v>48</v>
      </c>
      <c r="F15" s="39"/>
      <c r="G15" s="1"/>
    </row>
    <row r="16" spans="1:7" x14ac:dyDescent="0.25">
      <c r="A16" s="1"/>
      <c r="B16" s="27" t="s">
        <v>257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0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0" t="s">
        <v>152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3" t="s">
        <v>168</v>
      </c>
      <c r="C20" s="84"/>
      <c r="D20" s="84"/>
      <c r="E20" s="84"/>
      <c r="F20" s="85"/>
      <c r="G20" s="1"/>
    </row>
    <row r="21" spans="1:7" ht="26.25" x14ac:dyDescent="0.25">
      <c r="A21" s="1"/>
      <c r="B21" s="38" t="s">
        <v>26</v>
      </c>
      <c r="C21" s="38" t="s">
        <v>16</v>
      </c>
      <c r="D21" s="39"/>
      <c r="E21" s="38" t="s">
        <v>48</v>
      </c>
      <c r="F21" s="39"/>
      <c r="G21" s="1"/>
    </row>
    <row r="22" spans="1:7" x14ac:dyDescent="0.25">
      <c r="A22" s="1"/>
      <c r="B22" s="27" t="s">
        <v>257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0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0" t="s">
        <v>153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3" t="s">
        <v>171</v>
      </c>
      <c r="C26" s="84"/>
      <c r="D26" s="84"/>
      <c r="E26" s="84"/>
      <c r="F26" s="85"/>
      <c r="G26" s="1"/>
    </row>
    <row r="27" spans="1:7" ht="26.25" x14ac:dyDescent="0.25">
      <c r="A27" s="1"/>
      <c r="B27" s="38" t="s">
        <v>26</v>
      </c>
      <c r="C27" s="38" t="s">
        <v>16</v>
      </c>
      <c r="D27" s="39"/>
      <c r="E27" s="38" t="s">
        <v>48</v>
      </c>
      <c r="F27" s="39"/>
      <c r="G27" s="1"/>
    </row>
    <row r="28" spans="1:7" x14ac:dyDescent="0.25">
      <c r="A28" s="1"/>
      <c r="B28" s="27" t="s">
        <v>257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0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0" t="s">
        <v>154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nDPYsyAtPIsElfniiXG5BWdD3ofUWC3BK1UjSCKjCNKD9fpa47pM77sKh3ZkTOJdi3craTZnVbi05wgo7vnpWQ==" saltValue="IBynks4fMxM6aCFDPNZvv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221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18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12</v>
      </c>
      <c r="C9" s="97"/>
      <c r="D9" s="97"/>
      <c r="E9" s="97"/>
      <c r="F9" s="98"/>
      <c r="G9" s="9">
        <v>18350600</v>
      </c>
      <c r="H9" s="14" t="s">
        <v>3</v>
      </c>
      <c r="I9" s="1"/>
    </row>
    <row r="10" spans="1:9" x14ac:dyDescent="0.25">
      <c r="A10" s="1"/>
      <c r="B10" s="96" t="s">
        <v>137</v>
      </c>
      <c r="C10" s="97"/>
      <c r="D10" s="97"/>
      <c r="E10" s="97"/>
      <c r="F10" s="98"/>
      <c r="G10" s="9">
        <v>0</v>
      </c>
      <c r="H10" s="14" t="s">
        <v>3</v>
      </c>
      <c r="I10" s="1"/>
    </row>
    <row r="11" spans="1:9" x14ac:dyDescent="0.25">
      <c r="A11" s="1"/>
      <c r="B11" s="96" t="s">
        <v>77</v>
      </c>
      <c r="C11" s="97"/>
      <c r="D11" s="97"/>
      <c r="E11" s="97"/>
      <c r="F11" s="98"/>
      <c r="G11" s="9">
        <v>-16130980.756613754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2219619.2433862463</v>
      </c>
      <c r="H12" s="18" t="s">
        <v>3</v>
      </c>
      <c r="I12" s="1"/>
    </row>
    <row r="13" spans="1:9" x14ac:dyDescent="0.25">
      <c r="A13" s="1"/>
      <c r="B13" s="96" t="s">
        <v>13</v>
      </c>
      <c r="C13" s="97"/>
      <c r="D13" s="97"/>
      <c r="E13" s="97"/>
      <c r="F13" s="98"/>
      <c r="G13" s="9">
        <v>1</v>
      </c>
      <c r="H13" s="14" t="s">
        <v>28</v>
      </c>
      <c r="I13" s="1"/>
    </row>
    <row r="14" spans="1:9" x14ac:dyDescent="0.25">
      <c r="A14" s="1"/>
      <c r="B14" s="83" t="s">
        <v>138</v>
      </c>
      <c r="C14" s="84"/>
      <c r="D14" s="84"/>
      <c r="E14" s="84"/>
      <c r="F14" s="85"/>
      <c r="G14" s="12">
        <f>IF(G13 = 0,0,-G12/G13)</f>
        <v>-2219619.2433862463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cK90cIFJn67cnTjN78az6c72/bexGJ13QnEpUxmq17q47zF8aAWr1uxu/4UiJzyx8RqvhEFph3ZUqbuMYsPhjQ==" saltValue="mP6AQkD+PQA7r82AknxDV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62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x14ac:dyDescent="0.25">
      <c r="A9" s="1"/>
      <c r="B9" s="35" t="s">
        <v>35</v>
      </c>
      <c r="C9" s="7">
        <f>'Fane 3. Omkostninger i ØR2019'!E20</f>
        <v>50414236.269012384</v>
      </c>
      <c r="D9" s="8" t="s">
        <v>3</v>
      </c>
      <c r="E9" s="1"/>
    </row>
    <row r="10" spans="1:5" ht="17.100000000000001" customHeight="1" x14ac:dyDescent="0.25">
      <c r="A10" s="1"/>
      <c r="B10" s="47" t="s">
        <v>64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47" t="s">
        <v>65</v>
      </c>
      <c r="C11" s="9">
        <f>'Fane 10.1. Varige tillæg'!E12</f>
        <v>45509.414940000002</v>
      </c>
      <c r="D11" s="8" t="s">
        <v>3</v>
      </c>
      <c r="E11" s="1"/>
    </row>
    <row r="12" spans="1:5" ht="17.100000000000001" customHeight="1" x14ac:dyDescent="0.25">
      <c r="A12" s="1"/>
      <c r="B12" s="47" t="s">
        <v>42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7" t="s">
        <v>41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7" t="s">
        <v>44</v>
      </c>
      <c r="C14" s="9">
        <f>'Fane 12.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47" t="s">
        <v>43</v>
      </c>
      <c r="C15" s="9">
        <f>'Fane 12.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47" t="s">
        <v>27</v>
      </c>
      <c r="C16" s="9">
        <f>SUM(C9:C15)*'Fane 15. Nøgletal'!C12</f>
        <v>994056.98997386184</v>
      </c>
      <c r="D16" s="8" t="s">
        <v>3</v>
      </c>
      <c r="E16" s="1"/>
    </row>
    <row r="17" spans="1:5" ht="17.100000000000001" customHeight="1" x14ac:dyDescent="0.25">
      <c r="A17" s="1"/>
      <c r="B17" s="47" t="s">
        <v>10</v>
      </c>
      <c r="C17" s="9">
        <f>-SUM(C9:C16)*'Fane 5. Individuelt eff. krav'!G11</f>
        <v>-393797.64096567605</v>
      </c>
      <c r="D17" s="8" t="s">
        <v>3</v>
      </c>
      <c r="E17" s="1"/>
    </row>
    <row r="18" spans="1:5" ht="17.100000000000001" customHeight="1" x14ac:dyDescent="0.25">
      <c r="A18" s="1"/>
      <c r="B18" s="47" t="s">
        <v>39</v>
      </c>
      <c r="C18" s="9">
        <f>-'Fane 4.1. Gen. krav - drift'!G28</f>
        <v>-448616.70024002146</v>
      </c>
      <c r="D18" s="8" t="s">
        <v>3</v>
      </c>
      <c r="E18" s="1"/>
    </row>
    <row r="19" spans="1:5" ht="17.100000000000001" customHeight="1" x14ac:dyDescent="0.25">
      <c r="A19" s="1"/>
      <c r="B19" s="47" t="s">
        <v>40</v>
      </c>
      <c r="C19" s="9">
        <f>-'Fane 4.2. Gen. krav - anlæg'!G25</f>
        <v>-855561.87451564369</v>
      </c>
      <c r="D19" s="8" t="s">
        <v>3</v>
      </c>
      <c r="E19" s="1"/>
    </row>
    <row r="20" spans="1:5" ht="17.100000000000001" customHeight="1" x14ac:dyDescent="0.25">
      <c r="A20" s="1"/>
      <c r="B20" s="48" t="s">
        <v>29</v>
      </c>
      <c r="C20" s="10">
        <f>SUM(C9:C19)</f>
        <v>49755826.458204903</v>
      </c>
      <c r="D20" s="11" t="s">
        <v>3</v>
      </c>
      <c r="E20" s="1"/>
    </row>
    <row r="21" spans="1:5" ht="15" customHeight="1" x14ac:dyDescent="0.25">
      <c r="A21" s="1"/>
      <c r="B21" s="40" t="s">
        <v>17</v>
      </c>
      <c r="C21" s="34"/>
      <c r="D21" s="22"/>
      <c r="E21" s="1"/>
    </row>
    <row r="22" spans="1:5" ht="15" customHeight="1" x14ac:dyDescent="0.25">
      <c r="A22" s="1"/>
      <c r="B22" s="38" t="s">
        <v>17</v>
      </c>
      <c r="C22" s="10">
        <f>'Fane 6. Ikke-påvirkelige omk.'!C13+'Fane 6. Ikke-påvirkelige omk.'!C17+'Fane 6. Ikke-påvirkelige omk.'!C25</f>
        <v>3298917.1672385698</v>
      </c>
      <c r="D22" s="11" t="s">
        <v>3</v>
      </c>
      <c r="E22" s="1"/>
    </row>
    <row r="23" spans="1:5" ht="15" customHeight="1" x14ac:dyDescent="0.25">
      <c r="A23" s="1"/>
      <c r="B23" s="40" t="s">
        <v>145</v>
      </c>
      <c r="C23" s="34"/>
      <c r="D23" s="22"/>
      <c r="E23" s="1"/>
    </row>
    <row r="24" spans="1:5" ht="15" customHeight="1" x14ac:dyDescent="0.25">
      <c r="A24" s="1"/>
      <c r="B24" s="48" t="s">
        <v>145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40" t="s">
        <v>144</v>
      </c>
      <c r="C25" s="34"/>
      <c r="D25" s="22"/>
      <c r="E25" s="1"/>
    </row>
    <row r="26" spans="1:5" ht="15" customHeight="1" x14ac:dyDescent="0.25">
      <c r="A26" s="1"/>
      <c r="B26" s="47" t="s">
        <v>140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47" t="s">
        <v>141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48" t="s">
        <v>147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0" t="s">
        <v>11</v>
      </c>
      <c r="C29" s="34"/>
      <c r="D29" s="22"/>
      <c r="E29" s="1"/>
    </row>
    <row r="30" spans="1:5" ht="15" customHeight="1" x14ac:dyDescent="0.25">
      <c r="A30" s="1"/>
      <c r="B30" s="38" t="s">
        <v>19</v>
      </c>
      <c r="C30" s="10">
        <f>'Fane 14. Hist. over-underdæk.'!G14</f>
        <v>-2219619.2433862463</v>
      </c>
      <c r="D30" s="11" t="s">
        <v>3</v>
      </c>
      <c r="E30" s="1"/>
    </row>
    <row r="31" spans="1:5" x14ac:dyDescent="0.25">
      <c r="A31" s="1"/>
      <c r="B31" s="40" t="s">
        <v>174</v>
      </c>
      <c r="C31" s="34"/>
      <c r="D31" s="22"/>
      <c r="E31" s="1"/>
    </row>
    <row r="32" spans="1:5" x14ac:dyDescent="0.25">
      <c r="A32" s="1"/>
      <c r="B32" s="38" t="s">
        <v>209</v>
      </c>
      <c r="C32" s="10">
        <f>'Fane 7. Kontrol af ØR2018'!E28</f>
        <v>-611408.20418944582</v>
      </c>
      <c r="D32" s="11" t="s">
        <v>3</v>
      </c>
      <c r="E32" s="1"/>
    </row>
    <row r="33" spans="1:5" ht="15" customHeight="1" x14ac:dyDescent="0.25">
      <c r="A33" s="1"/>
      <c r="B33" s="40" t="s">
        <v>249</v>
      </c>
      <c r="C33" s="34"/>
      <c r="D33" s="22"/>
      <c r="E33" s="1"/>
    </row>
    <row r="34" spans="1:5" x14ac:dyDescent="0.25">
      <c r="A34" s="1"/>
      <c r="B34" s="38" t="s">
        <v>250</v>
      </c>
      <c r="C34" s="10">
        <f>'Fane 8. Korrektioner'!E20</f>
        <v>-647052</v>
      </c>
      <c r="D34" s="11" t="s">
        <v>3</v>
      </c>
      <c r="E34" s="1"/>
    </row>
    <row r="35" spans="1:5" x14ac:dyDescent="0.25">
      <c r="A35" s="1"/>
      <c r="B35" s="40" t="s">
        <v>36</v>
      </c>
      <c r="C35" s="36">
        <f>SUM(C34,C32,C30,C28,C24,C22,C20)</f>
        <v>49576664.177867778</v>
      </c>
      <c r="D35" s="37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QlzRprWK/kTxzn1ue/kb0oYvxFMiSKc9hQdSE6D3HEIYtHViMWY9QzIWhObDXLNBZpj4Jwis4CTxTCVYKFueQ==" saltValue="3T+sXYhUQWRmae2J0lRUB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2" t="s">
        <v>248</v>
      </c>
      <c r="C3" s="92"/>
      <c r="D3" s="1"/>
    </row>
    <row r="4" spans="1:4" ht="25.5" customHeight="1" x14ac:dyDescent="0.25">
      <c r="A4" s="1"/>
      <c r="B4" s="92"/>
      <c r="C4" s="92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21</v>
      </c>
      <c r="C8" s="22"/>
      <c r="D8" s="1"/>
    </row>
    <row r="9" spans="1:4" x14ac:dyDescent="0.25">
      <c r="A9" s="1"/>
      <c r="B9" s="53" t="s">
        <v>228</v>
      </c>
      <c r="C9" s="28">
        <v>1.2699999999999999E-2</v>
      </c>
      <c r="D9" s="1"/>
    </row>
    <row r="10" spans="1:4" x14ac:dyDescent="0.25">
      <c r="A10" s="1"/>
      <c r="B10" s="53" t="s">
        <v>229</v>
      </c>
      <c r="C10" s="28">
        <v>1.7500000000000002E-2</v>
      </c>
      <c r="D10" s="1"/>
    </row>
    <row r="11" spans="1:4" x14ac:dyDescent="0.25">
      <c r="A11" s="1"/>
      <c r="B11" s="53" t="s">
        <v>31</v>
      </c>
      <c r="C11" s="28">
        <v>1.6899999999999998E-2</v>
      </c>
      <c r="D11" s="1"/>
    </row>
    <row r="12" spans="1:4" x14ac:dyDescent="0.25">
      <c r="A12" s="1"/>
      <c r="B12" s="41" t="s">
        <v>230</v>
      </c>
      <c r="C12" s="42">
        <v>1.9699999999999999E-2</v>
      </c>
      <c r="D12" s="1"/>
    </row>
    <row r="13" spans="1:4" x14ac:dyDescent="0.25">
      <c r="A13" s="1"/>
      <c r="B13" s="40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0" t="s">
        <v>205</v>
      </c>
      <c r="C16" s="22"/>
      <c r="D16" s="1"/>
    </row>
    <row r="17" spans="1:4" x14ac:dyDescent="0.25">
      <c r="A17" s="1"/>
      <c r="B17" s="53" t="s">
        <v>231</v>
      </c>
      <c r="C17" s="25">
        <v>9.1000000000000004E-3</v>
      </c>
      <c r="D17" s="1"/>
    </row>
    <row r="18" spans="1:4" x14ac:dyDescent="0.25">
      <c r="A18" s="1"/>
      <c r="B18" s="53" t="s">
        <v>232</v>
      </c>
      <c r="C18" s="25">
        <v>1.77E-2</v>
      </c>
      <c r="D18" s="1"/>
    </row>
    <row r="19" spans="1:4" x14ac:dyDescent="0.25">
      <c r="A19" s="1"/>
      <c r="B19" s="53" t="s">
        <v>233</v>
      </c>
      <c r="C19" s="25">
        <v>8.6999999999999994E-3</v>
      </c>
      <c r="D19" s="1"/>
    </row>
    <row r="20" spans="1:4" x14ac:dyDescent="0.25">
      <c r="A20" s="1"/>
      <c r="B20" s="53" t="s">
        <v>234</v>
      </c>
      <c r="C20" s="43">
        <v>2.8400000000000002E-2</v>
      </c>
      <c r="D20" s="1"/>
    </row>
    <row r="21" spans="1:4" x14ac:dyDescent="0.25">
      <c r="A21" s="1"/>
      <c r="B21" s="40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0" t="s">
        <v>206</v>
      </c>
      <c r="C24" s="22"/>
      <c r="D24" s="1"/>
    </row>
    <row r="25" spans="1:4" x14ac:dyDescent="0.25">
      <c r="A25" s="1"/>
      <c r="B25" s="53" t="s">
        <v>235</v>
      </c>
      <c r="C25" s="28">
        <v>0.02</v>
      </c>
      <c r="D25" s="1"/>
    </row>
    <row r="26" spans="1:4" x14ac:dyDescent="0.25">
      <c r="A26" s="1"/>
      <c r="B26" s="40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wIRWKDS6XcND1wenlq5jhCtrsHzyJplvXYee2qCUK+ydkQ8PLnmqS+o9ceF9m+WYyy/JrAYur52FouOFiU3hHw==" saltValue="JrT3R71O1jWqxC5QEaoz2w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82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2.1. Økonomisk ramme 2020'!C20</f>
        <v>49755826.458204903</v>
      </c>
      <c r="D9" s="8" t="s">
        <v>3</v>
      </c>
      <c r="E9" s="1"/>
    </row>
    <row r="10" spans="1:5" ht="15" customHeight="1" x14ac:dyDescent="0.25">
      <c r="A10" s="1"/>
      <c r="B10" s="47" t="s">
        <v>42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7" t="s">
        <v>41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980189.78122663649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-388304.11881703185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drift'!G34</f>
        <v>-448305.36025005492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anlæg'!G31</f>
        <v>-847639.81644980365</v>
      </c>
      <c r="D15" s="8" t="s">
        <v>3</v>
      </c>
      <c r="E15" s="1"/>
    </row>
    <row r="16" spans="1:5" ht="15" customHeight="1" x14ac:dyDescent="0.25">
      <c r="A16" s="1"/>
      <c r="B16" s="33" t="s">
        <v>29</v>
      </c>
      <c r="C16" s="10">
        <f>SUM(C9:C15)</f>
        <v>49051766.943914644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omk.'!C13*(1+'Fane 15. Nøgletal'!C12)+'Fane 6. Ikke-påvirkelige omk.'!C18+'Fane 6. Ikke-påvirkelige omk.'!C26</f>
        <v>3325572.2161331698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174</v>
      </c>
      <c r="C25" s="34"/>
      <c r="D25" s="22"/>
      <c r="E25" s="1"/>
    </row>
    <row r="26" spans="1:5" ht="15" customHeight="1" x14ac:dyDescent="0.25">
      <c r="A26" s="1"/>
      <c r="B26" s="38" t="s">
        <v>209</v>
      </c>
      <c r="C26" s="10">
        <f>'Fane 2.1. Økonomisk ramme 2020'!C32</f>
        <v>-611408.20418944582</v>
      </c>
      <c r="D26" s="11" t="s">
        <v>3</v>
      </c>
      <c r="E26" s="1"/>
    </row>
    <row r="27" spans="1:5" x14ac:dyDescent="0.25">
      <c r="A27" s="1"/>
      <c r="B27" s="40" t="s">
        <v>45</v>
      </c>
      <c r="C27" s="12">
        <f>SUM(C16,C18,C20,C24,C26)</f>
        <v>51765930.955858365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NkO0i4evoD7XJ3y6DWOp2rkmHaRCkS1JeUwqD1vdBbKZxfyzgUbP92OSMpAmOpafHDTYeKnEmd0FFb81e3DKUw==" saltValue="sC9YKqeRtbSBferXe+/vH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246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37</v>
      </c>
      <c r="C9" s="7">
        <f>'Fane 2.2. Økonomisk ramme 2021'!C16</f>
        <v>49051766.943914644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SUM(C9:C11)*'Fane 15. Nøgletal'!C12</f>
        <v>966319.80879511847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-382809.50182939373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drift'!G40</f>
        <v>-447994.23633004137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anlæg'!G37</f>
        <v>-839791.1125221831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48347491.902028143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omk.'!C13*(1+'Fane 15. Nøgletal'!C12)^2+'Fane 6. Ikke-påvirkelige omk.'!C19+'Fane 6. Ikke-påvirkelige omk.'!C27</f>
        <v>3352752.3694909932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46</v>
      </c>
      <c r="C25" s="12">
        <f>SUM(C16,C18,C20,C24)</f>
        <v>51700244.271519139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uoDn2bX/Y1XUvC36WNU4GZOC67LRqb4vlP/aDjTCFm/xCNvm+gRGBF7Y7eL+9O850kAEEXy89cMqPpVjnSLJJA==" saltValue="qSYxrftsA7xy0X8F3d76i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247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30</v>
      </c>
      <c r="C5" s="79"/>
      <c r="D5" s="79"/>
      <c r="E5" s="1"/>
    </row>
    <row r="6" spans="1:5" x14ac:dyDescent="0.25">
      <c r="A6" s="1"/>
      <c r="B6" s="45"/>
      <c r="C6" s="45"/>
      <c r="D6" s="45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20</v>
      </c>
      <c r="C8" s="34"/>
      <c r="D8" s="22"/>
      <c r="E8" s="1"/>
    </row>
    <row r="9" spans="1:5" ht="15" customHeight="1" x14ac:dyDescent="0.25">
      <c r="A9" s="1"/>
      <c r="B9" s="35" t="s">
        <v>38</v>
      </c>
      <c r="C9" s="7">
        <f>'Fane 2.3. Økonomisk ramme 2022'!C16</f>
        <v>48347491.902028143</v>
      </c>
      <c r="D9" s="8" t="s">
        <v>3</v>
      </c>
      <c r="E9" s="1"/>
    </row>
    <row r="10" spans="1:5" ht="15" customHeight="1" x14ac:dyDescent="0.25">
      <c r="A10" s="1"/>
      <c r="B10" s="35" t="s">
        <v>42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5" t="s">
        <v>41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2" t="s">
        <v>27</v>
      </c>
      <c r="C12" s="9">
        <f>C9*'Fane 15. Nøgletal'!C12</f>
        <v>952445.59046995442</v>
      </c>
      <c r="D12" s="8" t="s">
        <v>3</v>
      </c>
      <c r="E12" s="1"/>
    </row>
    <row r="13" spans="1:5" ht="15" customHeight="1" x14ac:dyDescent="0.25">
      <c r="A13" s="1"/>
      <c r="B13" s="32" t="s">
        <v>10</v>
      </c>
      <c r="C13" s="9">
        <f>-SUM(C9:C12)*'Fane 5. Individuelt eff. krav'!G11</f>
        <v>-377313.20282259741</v>
      </c>
      <c r="D13" s="8" t="s">
        <v>3</v>
      </c>
      <c r="E13" s="1"/>
    </row>
    <row r="14" spans="1:5" ht="15" customHeight="1" x14ac:dyDescent="0.25">
      <c r="A14" s="1"/>
      <c r="B14" s="32" t="s">
        <v>39</v>
      </c>
      <c r="C14" s="9">
        <f>-'Fane 4.1. Gen. krav - drift'!G46</f>
        <v>-447683.32833002834</v>
      </c>
      <c r="D14" s="8" t="s">
        <v>3</v>
      </c>
      <c r="E14" s="1"/>
    </row>
    <row r="15" spans="1:5" ht="15" customHeight="1" x14ac:dyDescent="0.25">
      <c r="A15" s="1"/>
      <c r="B15" s="32" t="s">
        <v>40</v>
      </c>
      <c r="C15" s="9">
        <f>-'Fane 4.2. Gen. krav - anlæg'!G43</f>
        <v>-832015.08351160621</v>
      </c>
      <c r="D15" s="8" t="s">
        <v>3</v>
      </c>
      <c r="E15" s="1"/>
    </row>
    <row r="16" spans="1:5" x14ac:dyDescent="0.25">
      <c r="A16" s="1"/>
      <c r="B16" s="33" t="s">
        <v>29</v>
      </c>
      <c r="C16" s="10">
        <f>SUM(C9:C15)</f>
        <v>47642925.877833873</v>
      </c>
      <c r="D16" s="11" t="s">
        <v>3</v>
      </c>
      <c r="E16" s="1"/>
    </row>
    <row r="17" spans="1:5" x14ac:dyDescent="0.25">
      <c r="A17" s="1"/>
      <c r="B17" s="40" t="s">
        <v>17</v>
      </c>
      <c r="C17" s="34"/>
      <c r="D17" s="22"/>
      <c r="E17" s="1"/>
    </row>
    <row r="18" spans="1:5" ht="15" customHeight="1" x14ac:dyDescent="0.25">
      <c r="A18" s="1"/>
      <c r="B18" s="38" t="s">
        <v>17</v>
      </c>
      <c r="C18" s="10">
        <f>'Fane 6. Ikke-påvirkelige omk.'!C13*(1+'Fane 15. Nøgletal'!C12)^3+'Fane 6. Ikke-påvirkelige omk.'!C20+'Fane 6. Ikke-påvirkelige omk.'!C28</f>
        <v>3380467.971869966</v>
      </c>
      <c r="D18" s="11" t="s">
        <v>3</v>
      </c>
      <c r="E18" s="1"/>
    </row>
    <row r="19" spans="1:5" ht="15" customHeight="1" x14ac:dyDescent="0.25">
      <c r="A19" s="1"/>
      <c r="B19" s="40" t="s">
        <v>145</v>
      </c>
      <c r="C19" s="34"/>
      <c r="D19" s="22"/>
      <c r="E19" s="1"/>
    </row>
    <row r="20" spans="1:5" ht="15" customHeight="1" x14ac:dyDescent="0.25">
      <c r="A20" s="1"/>
      <c r="B20" s="48" t="s">
        <v>146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40" t="s">
        <v>144</v>
      </c>
      <c r="C21" s="34"/>
      <c r="D21" s="22"/>
      <c r="E21" s="1"/>
    </row>
    <row r="22" spans="1:5" ht="15" customHeight="1" x14ac:dyDescent="0.25">
      <c r="A22" s="1"/>
      <c r="B22" s="47" t="s">
        <v>140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47" t="s">
        <v>141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48" t="s">
        <v>147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40" t="s">
        <v>158</v>
      </c>
      <c r="C25" s="12">
        <f>SUM(C16,C18,C20,C24)</f>
        <v>51023393.849703841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8Q+BLNesaLETio9qrIktz1BBuuYI1jcxFn6AtrlbVtr4qYnir93aVB2xPLPJ9iIOKIvvawW+bHeBfWpiY3tlxA==" saltValue="3tweRiRA8IEyZtomBKf9d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2" t="s">
        <v>243</v>
      </c>
      <c r="C3" s="92"/>
      <c r="D3" s="92"/>
      <c r="E3" s="92"/>
      <c r="F3" s="92"/>
      <c r="G3" s="1"/>
    </row>
    <row r="4" spans="1:7" ht="29.25" customHeight="1" x14ac:dyDescent="0.25">
      <c r="A4" s="1"/>
      <c r="B4" s="92"/>
      <c r="C4" s="92"/>
      <c r="D4" s="92"/>
      <c r="E4" s="92"/>
      <c r="F4" s="9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81</v>
      </c>
      <c r="C8" s="34"/>
      <c r="D8" s="34"/>
      <c r="E8" s="34"/>
      <c r="F8" s="22"/>
      <c r="G8" s="1"/>
    </row>
    <row r="9" spans="1:7" ht="15" customHeight="1" x14ac:dyDescent="0.25">
      <c r="A9" s="1"/>
      <c r="B9" s="80" t="s">
        <v>79</v>
      </c>
      <c r="C9" s="81"/>
      <c r="D9" s="82"/>
      <c r="E9" s="7">
        <v>50865959.20316641</v>
      </c>
      <c r="F9" s="8" t="s">
        <v>3</v>
      </c>
      <c r="G9" s="1"/>
    </row>
    <row r="10" spans="1:7" ht="15" customHeight="1" x14ac:dyDescent="0.25">
      <c r="A10" s="1"/>
      <c r="B10" s="93" t="s">
        <v>64</v>
      </c>
      <c r="C10" s="94"/>
      <c r="D10" s="95"/>
      <c r="E10" s="7">
        <v>0</v>
      </c>
      <c r="F10" s="8" t="s">
        <v>3</v>
      </c>
      <c r="G10" s="1"/>
    </row>
    <row r="11" spans="1:7" ht="15" customHeight="1" x14ac:dyDescent="0.25">
      <c r="A11" s="1"/>
      <c r="B11" s="93" t="s">
        <v>65</v>
      </c>
      <c r="C11" s="94"/>
      <c r="D11" s="95"/>
      <c r="E11" s="9">
        <v>32850.9545</v>
      </c>
      <c r="F11" s="8" t="s">
        <v>3</v>
      </c>
      <c r="G11" s="1"/>
    </row>
    <row r="12" spans="1:7" ht="15" customHeight="1" x14ac:dyDescent="0.25">
      <c r="A12" s="1"/>
      <c r="B12" s="93" t="s">
        <v>42</v>
      </c>
      <c r="C12" s="94"/>
      <c r="D12" s="95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41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44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43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27</v>
      </c>
      <c r="C16" s="81"/>
      <c r="D16" s="82"/>
      <c r="E16" s="9">
        <f>E9*'Fane 15. Nøgletal'!C10+SUM(E10:E15)*'Fane 15. Nøgletal'!C11</f>
        <v>890709.46718646225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krav'!G10</f>
        <v>-395140.36238228099</v>
      </c>
      <c r="F17" s="8" t="s">
        <v>3</v>
      </c>
      <c r="G17" s="1"/>
    </row>
    <row r="18" spans="1:7" ht="15" customHeight="1" x14ac:dyDescent="0.25">
      <c r="A18" s="1"/>
      <c r="B18" s="80" t="s">
        <v>39</v>
      </c>
      <c r="C18" s="81"/>
      <c r="D18" s="82"/>
      <c r="E18" s="9">
        <f>-'Fane 4.1. Gen. krav - drift'!G22</f>
        <v>-448928.25644999772</v>
      </c>
      <c r="F18" s="8" t="s">
        <v>3</v>
      </c>
      <c r="G18" s="1"/>
    </row>
    <row r="19" spans="1:7" ht="15" customHeight="1" x14ac:dyDescent="0.25">
      <c r="A19" s="1"/>
      <c r="B19" s="80" t="s">
        <v>40</v>
      </c>
      <c r="C19" s="81"/>
      <c r="D19" s="82"/>
      <c r="E19" s="9">
        <f>-'Fane 4.2. Gen. krav - anlæg'!G19</f>
        <v>-531214.7370082105</v>
      </c>
      <c r="F19" s="8" t="s">
        <v>3</v>
      </c>
      <c r="G19" s="1"/>
    </row>
    <row r="20" spans="1:7" ht="15" customHeight="1" x14ac:dyDescent="0.25">
      <c r="A20" s="1"/>
      <c r="B20" s="48" t="s">
        <v>29</v>
      </c>
      <c r="C20" s="49"/>
      <c r="D20" s="50"/>
      <c r="E20" s="10">
        <f>SUM(E9:E19)</f>
        <v>50414236.269012384</v>
      </c>
      <c r="F20" s="11" t="s">
        <v>3</v>
      </c>
      <c r="G20" s="1"/>
    </row>
    <row r="21" spans="1:7" ht="15" customHeight="1" x14ac:dyDescent="0.25">
      <c r="A21" s="1"/>
      <c r="B21" s="83" t="s">
        <v>145</v>
      </c>
      <c r="C21" s="84"/>
      <c r="D21" s="84"/>
      <c r="E21" s="84"/>
      <c r="F21" s="85"/>
      <c r="G21" s="1"/>
    </row>
    <row r="22" spans="1:7" ht="15" customHeight="1" x14ac:dyDescent="0.25">
      <c r="A22" s="1"/>
      <c r="B22" s="80" t="s">
        <v>239</v>
      </c>
      <c r="C22" s="81"/>
      <c r="D22" s="82"/>
      <c r="E22" s="44">
        <v>0</v>
      </c>
      <c r="F22" s="8" t="s">
        <v>3</v>
      </c>
      <c r="G22" s="1"/>
    </row>
    <row r="23" spans="1:7" ht="15" customHeight="1" x14ac:dyDescent="0.25">
      <c r="A23" s="1"/>
      <c r="B23" s="80" t="s">
        <v>238</v>
      </c>
      <c r="C23" s="81"/>
      <c r="D23" s="82"/>
      <c r="E23" s="44">
        <f>-E22*('Fane 15. Nøgletal'!C25+'Fane 5. Individuelt eff. krav'!G10)</f>
        <v>0</v>
      </c>
      <c r="F23" s="8" t="s">
        <v>3</v>
      </c>
      <c r="G23" s="1"/>
    </row>
    <row r="24" spans="1:7" ht="15" customHeight="1" x14ac:dyDescent="0.25">
      <c r="A24" s="1"/>
      <c r="B24" s="86" t="s">
        <v>240</v>
      </c>
      <c r="C24" s="87"/>
      <c r="D24" s="88"/>
      <c r="E24" s="10">
        <f>SUM(E22:E23)</f>
        <v>0</v>
      </c>
      <c r="F24" s="11" t="s">
        <v>3</v>
      </c>
      <c r="G24" s="1"/>
    </row>
    <row r="25" spans="1:7" x14ac:dyDescent="0.25">
      <c r="A25" s="1"/>
      <c r="B25" s="40" t="s">
        <v>17</v>
      </c>
      <c r="C25" s="34"/>
      <c r="D25" s="34"/>
      <c r="E25" s="34"/>
      <c r="F25" s="22"/>
      <c r="G25" s="1"/>
    </row>
    <row r="26" spans="1:7" ht="15" customHeight="1" x14ac:dyDescent="0.25">
      <c r="A26" s="1"/>
      <c r="B26" s="86" t="s">
        <v>17</v>
      </c>
      <c r="C26" s="87"/>
      <c r="D26" s="88"/>
      <c r="E26" s="10">
        <v>3079854.5185252698</v>
      </c>
      <c r="F26" s="11" t="s">
        <v>3</v>
      </c>
      <c r="G26" s="1"/>
    </row>
    <row r="27" spans="1:7" x14ac:dyDescent="0.25">
      <c r="A27" s="1"/>
      <c r="B27" s="40" t="s">
        <v>80</v>
      </c>
      <c r="C27" s="34"/>
      <c r="D27" s="34"/>
      <c r="E27" s="34"/>
      <c r="F27" s="22"/>
      <c r="G27" s="1"/>
    </row>
    <row r="28" spans="1:7" ht="27" customHeight="1" x14ac:dyDescent="0.25">
      <c r="A28" s="1"/>
      <c r="B28" s="89" t="s">
        <v>134</v>
      </c>
      <c r="C28" s="90"/>
      <c r="D28" s="91"/>
      <c r="E28" s="10">
        <v>16246.270580842383</v>
      </c>
      <c r="F28" s="11" t="s">
        <v>3</v>
      </c>
      <c r="G28" s="1"/>
    </row>
    <row r="29" spans="1:7" x14ac:dyDescent="0.25">
      <c r="A29" s="1"/>
      <c r="B29" s="40" t="s">
        <v>11</v>
      </c>
      <c r="C29" s="34"/>
      <c r="D29" s="34"/>
      <c r="E29" s="34"/>
      <c r="F29" s="22"/>
      <c r="G29" s="1"/>
    </row>
    <row r="30" spans="1:7" ht="15" customHeight="1" x14ac:dyDescent="0.25">
      <c r="A30" s="1"/>
      <c r="B30" s="89" t="s">
        <v>19</v>
      </c>
      <c r="C30" s="90"/>
      <c r="D30" s="91"/>
      <c r="E30" s="10">
        <v>-2219619</v>
      </c>
      <c r="F30" s="11" t="s">
        <v>3</v>
      </c>
      <c r="G30" s="1"/>
    </row>
    <row r="31" spans="1:7" x14ac:dyDescent="0.25">
      <c r="A31" s="1"/>
      <c r="B31" s="83" t="s">
        <v>24</v>
      </c>
      <c r="C31" s="84"/>
      <c r="D31" s="85"/>
      <c r="E31" s="12">
        <f>SUM(E30,E28,E26,E20,E24)</f>
        <v>51290718.058118492</v>
      </c>
      <c r="F31" s="13" t="s">
        <v>3</v>
      </c>
      <c r="G31" s="1"/>
    </row>
    <row r="32" spans="1:7" ht="27" customHeight="1" x14ac:dyDescent="0.25">
      <c r="A32" s="1"/>
      <c r="B32" s="80" t="s">
        <v>208</v>
      </c>
      <c r="C32" s="81"/>
      <c r="D32" s="81"/>
      <c r="E32" s="81"/>
      <c r="F32" s="82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NgUNz9m64ZvEW0Cwo8EFEtKHb//wlhfj2IB9jfsQC7b7iMkofFt1vHr6xgyNHHSLDC2Uraxh2SBpDzn3+vLQfQ==" saltValue="oeLoOXyINwqrKo/0bKYGEw==" spinCount="100000" sheet="1" objects="1" scenarios="1"/>
  <mergeCells count="21">
    <mergeCell ref="B32:F32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28:D28"/>
    <mergeCell ref="B31:D31"/>
    <mergeCell ref="B22:D22"/>
    <mergeCell ref="B23:D23"/>
    <mergeCell ref="B21:F21"/>
    <mergeCell ref="B24:D24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8" t="s">
        <v>218</v>
      </c>
      <c r="C2" s="78"/>
      <c r="D2" s="78"/>
      <c r="E2" s="78"/>
      <c r="F2" s="78"/>
      <c r="G2" s="78"/>
      <c r="H2" s="78"/>
      <c r="I2" s="1"/>
    </row>
    <row r="3" spans="1:9" ht="15" customHeight="1" x14ac:dyDescent="0.25">
      <c r="A3" s="1"/>
      <c r="B3" s="78"/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83" t="s">
        <v>94</v>
      </c>
      <c r="C5" s="84"/>
      <c r="D5" s="84"/>
      <c r="E5" s="84"/>
      <c r="F5" s="84"/>
      <c r="G5" s="84"/>
      <c r="H5" s="85"/>
      <c r="I5" s="1"/>
    </row>
    <row r="6" spans="1:9" x14ac:dyDescent="0.25">
      <c r="A6" s="1"/>
      <c r="B6" s="96" t="s">
        <v>83</v>
      </c>
      <c r="C6" s="97"/>
      <c r="D6" s="97"/>
      <c r="E6" s="97"/>
      <c r="F6" s="98"/>
      <c r="G6" s="26">
        <v>22780795</v>
      </c>
      <c r="H6" s="14" t="s">
        <v>3</v>
      </c>
      <c r="I6" s="1"/>
    </row>
    <row r="7" spans="1:9" x14ac:dyDescent="0.25">
      <c r="A7" s="1"/>
      <c r="B7" s="80" t="s">
        <v>242</v>
      </c>
      <c r="C7" s="81"/>
      <c r="D7" s="81"/>
      <c r="E7" s="81"/>
      <c r="F7" s="82"/>
      <c r="G7" s="26">
        <v>0</v>
      </c>
      <c r="H7" s="14" t="s">
        <v>3</v>
      </c>
      <c r="I7" s="1"/>
    </row>
    <row r="8" spans="1:9" x14ac:dyDescent="0.25">
      <c r="A8" s="1"/>
      <c r="B8" s="96" t="s">
        <v>84</v>
      </c>
      <c r="C8" s="97"/>
      <c r="D8" s="97"/>
      <c r="E8" s="97"/>
      <c r="F8" s="98"/>
      <c r="G8" s="26">
        <f>SUM(G6:G7)*'Fane 15. Nøgletal'!C25</f>
        <v>455615.9</v>
      </c>
      <c r="H8" s="14" t="s">
        <v>3</v>
      </c>
      <c r="I8" s="1"/>
    </row>
    <row r="9" spans="1:9" x14ac:dyDescent="0.25">
      <c r="A9" s="1"/>
      <c r="B9" s="40"/>
      <c r="C9" s="34"/>
      <c r="D9" s="34"/>
      <c r="E9" s="34"/>
      <c r="F9" s="34"/>
      <c r="G9" s="34"/>
      <c r="H9" s="22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3" t="s">
        <v>95</v>
      </c>
      <c r="C11" s="84"/>
      <c r="D11" s="84"/>
      <c r="E11" s="84"/>
      <c r="F11" s="84"/>
      <c r="G11" s="84"/>
      <c r="H11" s="85"/>
      <c r="I11" s="1"/>
    </row>
    <row r="12" spans="1:9" x14ac:dyDescent="0.25">
      <c r="A12" s="1"/>
      <c r="B12" s="96" t="s">
        <v>85</v>
      </c>
      <c r="C12" s="97"/>
      <c r="D12" s="97"/>
      <c r="E12" s="97"/>
      <c r="F12" s="98"/>
      <c r="G12" s="26">
        <f>(G6-G8)*(1+'Fane 15. Nøgletal'!C10)</f>
        <v>22715869.734250002</v>
      </c>
      <c r="H12" s="14" t="s">
        <v>3</v>
      </c>
      <c r="I12" s="1"/>
    </row>
    <row r="13" spans="1:9" x14ac:dyDescent="0.25">
      <c r="A13" s="1"/>
      <c r="B13" s="96" t="s">
        <v>244</v>
      </c>
      <c r="C13" s="97"/>
      <c r="D13" s="97"/>
      <c r="E13" s="97"/>
      <c r="F13" s="98"/>
      <c r="G13" s="26">
        <v>-205301.79311788661</v>
      </c>
      <c r="H13" s="14" t="s">
        <v>3</v>
      </c>
      <c r="I13" s="1"/>
    </row>
    <row r="14" spans="1:9" ht="15" customHeight="1" x14ac:dyDescent="0.25">
      <c r="A14" s="1"/>
      <c r="B14" s="80" t="s">
        <v>237</v>
      </c>
      <c r="C14" s="81"/>
      <c r="D14" s="81"/>
      <c r="E14" s="81"/>
      <c r="F14" s="82"/>
      <c r="G14" s="26">
        <v>0</v>
      </c>
      <c r="H14" s="14" t="s">
        <v>3</v>
      </c>
      <c r="I14" s="1"/>
    </row>
    <row r="15" spans="1:9" x14ac:dyDescent="0.25">
      <c r="A15" s="1"/>
      <c r="B15" s="99" t="s">
        <v>86</v>
      </c>
      <c r="C15" s="100"/>
      <c r="D15" s="100"/>
      <c r="E15" s="100"/>
      <c r="F15" s="101"/>
      <c r="G15" s="26">
        <v>0</v>
      </c>
      <c r="H15" s="14" t="s">
        <v>3</v>
      </c>
      <c r="I15" s="1"/>
    </row>
    <row r="16" spans="1:9" x14ac:dyDescent="0.25">
      <c r="A16" s="1"/>
      <c r="B16" s="96" t="s">
        <v>87</v>
      </c>
      <c r="C16" s="97"/>
      <c r="D16" s="97"/>
      <c r="E16" s="97"/>
      <c r="F16" s="98"/>
      <c r="G16" s="26">
        <f>SUM(G12:G15)*'Fane 15. Nøgletal'!C25</f>
        <v>450211.3588226423</v>
      </c>
      <c r="H16" s="14" t="s">
        <v>3</v>
      </c>
      <c r="I16" s="1"/>
    </row>
    <row r="17" spans="1:9" x14ac:dyDescent="0.25">
      <c r="A17" s="1"/>
      <c r="B17" s="40"/>
      <c r="C17" s="34"/>
      <c r="D17" s="34"/>
      <c r="E17" s="34"/>
      <c r="F17" s="34"/>
      <c r="G17" s="34"/>
      <c r="H17" s="22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3" t="s">
        <v>96</v>
      </c>
      <c r="C19" s="84"/>
      <c r="D19" s="84"/>
      <c r="E19" s="84"/>
      <c r="F19" s="84"/>
      <c r="G19" s="84"/>
      <c r="H19" s="85"/>
      <c r="I19" s="1"/>
    </row>
    <row r="20" spans="1:9" x14ac:dyDescent="0.25">
      <c r="A20" s="1"/>
      <c r="B20" s="96" t="s">
        <v>88</v>
      </c>
      <c r="C20" s="97"/>
      <c r="D20" s="97"/>
      <c r="E20" s="97"/>
      <c r="F20" s="98"/>
      <c r="G20" s="26">
        <f>(SUM(G12:G13,G15)-(G16))*(1+'Fane 15. Nøgletal'!C10)</f>
        <v>22446412.822499886</v>
      </c>
      <c r="H20" s="14" t="s">
        <v>3</v>
      </c>
      <c r="I20" s="1"/>
    </row>
    <row r="21" spans="1:9" x14ac:dyDescent="0.25">
      <c r="A21" s="1"/>
      <c r="B21" s="99" t="s">
        <v>89</v>
      </c>
      <c r="C21" s="100"/>
      <c r="D21" s="100"/>
      <c r="E21" s="100"/>
      <c r="F21" s="101"/>
      <c r="G21" s="26">
        <v>0</v>
      </c>
      <c r="H21" s="14" t="s">
        <v>3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26">
        <f>SUM(G20:G21)*'Fane 15. Nøgletal'!C25</f>
        <v>448928.25644999772</v>
      </c>
      <c r="H22" s="14" t="s">
        <v>3</v>
      </c>
      <c r="I22" s="1"/>
    </row>
    <row r="23" spans="1:9" x14ac:dyDescent="0.25">
      <c r="A23" s="1"/>
      <c r="B23" s="40"/>
      <c r="C23" s="34"/>
      <c r="D23" s="34"/>
      <c r="E23" s="34"/>
      <c r="F23" s="34"/>
      <c r="G23" s="34"/>
      <c r="H23" s="22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3" t="s">
        <v>97</v>
      </c>
      <c r="C25" s="84"/>
      <c r="D25" s="84"/>
      <c r="E25" s="84"/>
      <c r="F25" s="84"/>
      <c r="G25" s="84"/>
      <c r="H25" s="85"/>
      <c r="I25" s="1"/>
    </row>
    <row r="26" spans="1:9" x14ac:dyDescent="0.25">
      <c r="A26" s="1"/>
      <c r="B26" s="96" t="s">
        <v>91</v>
      </c>
      <c r="C26" s="97"/>
      <c r="D26" s="97"/>
      <c r="E26" s="97"/>
      <c r="F26" s="98"/>
      <c r="G26" s="26">
        <f>(G20+G21-G22)*(1+'Fane 15. Nøgletal'!C12)</f>
        <v>22430835.012001071</v>
      </c>
      <c r="H26" s="14" t="s">
        <v>3</v>
      </c>
      <c r="I26" s="1"/>
    </row>
    <row r="27" spans="1:9" x14ac:dyDescent="0.25">
      <c r="A27" s="1"/>
      <c r="B27" s="99" t="s">
        <v>92</v>
      </c>
      <c r="C27" s="100"/>
      <c r="D27" s="100"/>
      <c r="E27" s="100"/>
      <c r="F27" s="101"/>
      <c r="G27" s="26">
        <f>('Fane 2.1. Økonomisk ramme 2020'!C10+'Fane 2.1. Økonomisk ramme 2020'!C12+'Fane 2.1. Økonomisk ramme 2020'!C14)*(1+'Fane 15. Nøgletal'!C12)</f>
        <v>0</v>
      </c>
      <c r="H27" s="14" t="s">
        <v>3</v>
      </c>
      <c r="I27" s="1"/>
    </row>
    <row r="28" spans="1:9" x14ac:dyDescent="0.25">
      <c r="A28" s="1"/>
      <c r="B28" s="96" t="s">
        <v>93</v>
      </c>
      <c r="C28" s="97"/>
      <c r="D28" s="97"/>
      <c r="E28" s="97"/>
      <c r="F28" s="98"/>
      <c r="G28" s="26">
        <f>(G26+G27)*'Fane 15. Nøgletal'!C25</f>
        <v>448616.70024002146</v>
      </c>
      <c r="H28" s="14" t="s">
        <v>3</v>
      </c>
      <c r="I28" s="1"/>
    </row>
    <row r="29" spans="1:9" x14ac:dyDescent="0.25">
      <c r="A29" s="1"/>
      <c r="B29" s="40"/>
      <c r="C29" s="34"/>
      <c r="D29" s="34"/>
      <c r="E29" s="34"/>
      <c r="F29" s="34"/>
      <c r="G29" s="34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3" t="s">
        <v>100</v>
      </c>
      <c r="C31" s="84"/>
      <c r="D31" s="84"/>
      <c r="E31" s="84"/>
      <c r="F31" s="84"/>
      <c r="G31" s="84"/>
      <c r="H31" s="85"/>
      <c r="I31" s="1"/>
    </row>
    <row r="32" spans="1:9" x14ac:dyDescent="0.25">
      <c r="A32" s="1"/>
      <c r="B32" s="96" t="s">
        <v>101</v>
      </c>
      <c r="C32" s="97"/>
      <c r="D32" s="97"/>
      <c r="E32" s="97"/>
      <c r="F32" s="98"/>
      <c r="G32" s="26">
        <f>(G26+G27-G28)*(1+'Fane 15. Nøgletal'!C12)</f>
        <v>22415268.012502745</v>
      </c>
      <c r="H32" s="14" t="s">
        <v>3</v>
      </c>
      <c r="I32" s="1"/>
    </row>
    <row r="33" spans="1:9" x14ac:dyDescent="0.25">
      <c r="A33" s="1"/>
      <c r="B33" s="96" t="s">
        <v>149</v>
      </c>
      <c r="C33" s="97"/>
      <c r="D33" s="97"/>
      <c r="E33" s="97"/>
      <c r="F33" s="98"/>
      <c r="G33" s="26">
        <f>-'Fane 13. Bortfald'!C18*(1+'Fane 15. Nøgletal'!C12)</f>
        <v>0</v>
      </c>
      <c r="H33" s="14" t="s">
        <v>3</v>
      </c>
      <c r="I33" s="1"/>
    </row>
    <row r="34" spans="1:9" x14ac:dyDescent="0.25">
      <c r="A34" s="1"/>
      <c r="B34" s="96" t="s">
        <v>102</v>
      </c>
      <c r="C34" s="97"/>
      <c r="D34" s="97"/>
      <c r="E34" s="97"/>
      <c r="F34" s="98"/>
      <c r="G34" s="26">
        <f>(G32+G33)*'Fane 15. Nøgletal'!C25</f>
        <v>448305.36025005492</v>
      </c>
      <c r="H34" s="14" t="s">
        <v>3</v>
      </c>
      <c r="I34" s="1"/>
    </row>
    <row r="35" spans="1:9" x14ac:dyDescent="0.25">
      <c r="A35" s="1"/>
      <c r="B35" s="40"/>
      <c r="C35" s="34"/>
      <c r="D35" s="34"/>
      <c r="E35" s="34"/>
      <c r="F35" s="34"/>
      <c r="G35" s="34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3" t="s">
        <v>127</v>
      </c>
      <c r="C37" s="84"/>
      <c r="D37" s="84"/>
      <c r="E37" s="84"/>
      <c r="F37" s="84"/>
      <c r="G37" s="84"/>
      <c r="H37" s="85"/>
      <c r="I37" s="1"/>
    </row>
    <row r="38" spans="1:9" x14ac:dyDescent="0.25">
      <c r="A38" s="1"/>
      <c r="B38" s="96" t="s">
        <v>126</v>
      </c>
      <c r="C38" s="97"/>
      <c r="D38" s="97"/>
      <c r="E38" s="97"/>
      <c r="F38" s="98"/>
      <c r="G38" s="26">
        <f>(G32-G34)*(1+'Fane 15. Nøgletal'!C12)</f>
        <v>22399711.816502068</v>
      </c>
      <c r="H38" s="14" t="s">
        <v>3</v>
      </c>
      <c r="I38" s="1"/>
    </row>
    <row r="39" spans="1:9" x14ac:dyDescent="0.25">
      <c r="A39" s="1"/>
      <c r="B39" s="96" t="s">
        <v>150</v>
      </c>
      <c r="C39" s="97"/>
      <c r="D39" s="97"/>
      <c r="E39" s="97"/>
      <c r="F39" s="98"/>
      <c r="G39" s="26">
        <f>-'Fane 13. Bortfald'!C24*(1+'Fane 15. Nøgletal'!C12)</f>
        <v>0</v>
      </c>
      <c r="H39" s="14" t="s">
        <v>3</v>
      </c>
      <c r="I39" s="1"/>
    </row>
    <row r="40" spans="1:9" x14ac:dyDescent="0.25">
      <c r="A40" s="1"/>
      <c r="B40" s="96" t="s">
        <v>103</v>
      </c>
      <c r="C40" s="97"/>
      <c r="D40" s="97"/>
      <c r="E40" s="97"/>
      <c r="F40" s="98"/>
      <c r="G40" s="26">
        <f>(G38+G39)*'Fane 15. Nøgletal'!C25</f>
        <v>447994.23633004137</v>
      </c>
      <c r="H40" s="14" t="s">
        <v>3</v>
      </c>
      <c r="I40" s="1"/>
    </row>
    <row r="41" spans="1:9" x14ac:dyDescent="0.25">
      <c r="A41" s="1"/>
      <c r="B41" s="40"/>
      <c r="C41" s="34"/>
      <c r="D41" s="34"/>
      <c r="E41" s="34"/>
      <c r="F41" s="34"/>
      <c r="G41" s="34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3" t="s">
        <v>128</v>
      </c>
      <c r="C43" s="84"/>
      <c r="D43" s="84"/>
      <c r="E43" s="84"/>
      <c r="F43" s="84"/>
      <c r="G43" s="84"/>
      <c r="H43" s="85"/>
      <c r="I43" s="1"/>
    </row>
    <row r="44" spans="1:9" x14ac:dyDescent="0.25">
      <c r="A44" s="1"/>
      <c r="B44" s="96" t="s">
        <v>125</v>
      </c>
      <c r="C44" s="97"/>
      <c r="D44" s="97"/>
      <c r="E44" s="97"/>
      <c r="F44" s="98"/>
      <c r="G44" s="26">
        <f>(G38-G40)*(1+'Fane 15. Nøgletal'!C12)</f>
        <v>22384166.416501418</v>
      </c>
      <c r="H44" s="14" t="s">
        <v>3</v>
      </c>
      <c r="I44" s="1"/>
    </row>
    <row r="45" spans="1:9" x14ac:dyDescent="0.25">
      <c r="A45" s="1"/>
      <c r="B45" s="96" t="s">
        <v>151</v>
      </c>
      <c r="C45" s="97"/>
      <c r="D45" s="97"/>
      <c r="E45" s="97"/>
      <c r="F45" s="98"/>
      <c r="G45" s="26">
        <f>-'Fane 13. Bortfald'!C30*(1+'Fane 15. Nøgletal'!C12)</f>
        <v>0</v>
      </c>
      <c r="H45" s="14" t="s">
        <v>3</v>
      </c>
      <c r="I45" s="1"/>
    </row>
    <row r="46" spans="1:9" x14ac:dyDescent="0.25">
      <c r="A46" s="1"/>
      <c r="B46" s="96" t="s">
        <v>104</v>
      </c>
      <c r="C46" s="97"/>
      <c r="D46" s="97"/>
      <c r="E46" s="97"/>
      <c r="F46" s="98"/>
      <c r="G46" s="26">
        <f>(G44+G45)*'Fane 15. Nøgletal'!C25</f>
        <v>447683.32833002834</v>
      </c>
      <c r="H46" s="14" t="s">
        <v>3</v>
      </c>
      <c r="I46" s="1"/>
    </row>
    <row r="47" spans="1:9" x14ac:dyDescent="0.25">
      <c r="A47" s="1"/>
      <c r="B47" s="40"/>
      <c r="C47" s="34"/>
      <c r="D47" s="34"/>
      <c r="E47" s="34"/>
      <c r="F47" s="34"/>
      <c r="G47" s="34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TEZnloStv2uTuiIsVK0hoDRs/wdDpo9Hq9J5vNhMz5tM/XpnHDD6TErSd7cdJix6Wp6p96bVj80EPlGgT16JAQ==" saltValue="tnmjANpy/zKlTS2fy9EBnA==" spinCount="100000" sheet="1" objects="1" scenarios="1"/>
  <mergeCells count="31">
    <mergeCell ref="B2:H4"/>
    <mergeCell ref="B5:H5"/>
    <mergeCell ref="B6:F6"/>
    <mergeCell ref="B8:F8"/>
    <mergeCell ref="B12:F12"/>
    <mergeCell ref="B11:H11"/>
    <mergeCell ref="B7:F7"/>
    <mergeCell ref="B44:F44"/>
    <mergeCell ref="B46:F46"/>
    <mergeCell ref="B39:F39"/>
    <mergeCell ref="B45:F45"/>
    <mergeCell ref="B40:F40"/>
    <mergeCell ref="B38:F38"/>
    <mergeCell ref="B33:F33"/>
    <mergeCell ref="B34:F34"/>
    <mergeCell ref="B25:H25"/>
    <mergeCell ref="B43:H43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2" t="s">
        <v>219</v>
      </c>
      <c r="C2" s="102"/>
      <c r="D2" s="102"/>
      <c r="E2" s="102"/>
      <c r="F2" s="102"/>
      <c r="G2" s="102"/>
      <c r="H2" s="102"/>
      <c r="I2" s="1"/>
    </row>
    <row r="3" spans="1:9" ht="18.75" x14ac:dyDescent="0.3">
      <c r="A3" s="1"/>
      <c r="B3" s="54"/>
      <c r="C3" s="54"/>
      <c r="D3" s="54"/>
      <c r="E3" s="54"/>
      <c r="F3" s="54"/>
      <c r="G3" s="54"/>
      <c r="H3" s="54"/>
      <c r="I3" s="1"/>
    </row>
    <row r="4" spans="1:9" x14ac:dyDescent="0.25">
      <c r="A4" s="1"/>
      <c r="B4" s="83" t="s">
        <v>98</v>
      </c>
      <c r="C4" s="84"/>
      <c r="D4" s="84"/>
      <c r="E4" s="84"/>
      <c r="F4" s="84"/>
      <c r="G4" s="84"/>
      <c r="H4" s="85"/>
      <c r="I4" s="1"/>
    </row>
    <row r="5" spans="1:9" x14ac:dyDescent="0.25">
      <c r="A5" s="1"/>
      <c r="B5" s="96" t="s">
        <v>105</v>
      </c>
      <c r="C5" s="97"/>
      <c r="D5" s="97"/>
      <c r="E5" s="97"/>
      <c r="F5" s="98"/>
      <c r="G5" s="26">
        <v>29936623</v>
      </c>
      <c r="H5" s="14" t="s">
        <v>3</v>
      </c>
      <c r="I5" s="1"/>
    </row>
    <row r="6" spans="1:9" x14ac:dyDescent="0.25">
      <c r="A6" s="1"/>
      <c r="B6" s="96" t="s">
        <v>99</v>
      </c>
      <c r="C6" s="97"/>
      <c r="D6" s="97"/>
      <c r="E6" s="97"/>
      <c r="F6" s="98"/>
      <c r="G6" s="26">
        <f>G5*'Fane 15. Nøgletal'!C17</f>
        <v>272423.26929999999</v>
      </c>
      <c r="H6" s="14" t="s">
        <v>3</v>
      </c>
      <c r="I6" s="1"/>
    </row>
    <row r="7" spans="1:9" x14ac:dyDescent="0.25">
      <c r="A7" s="1"/>
      <c r="B7" s="40"/>
      <c r="C7" s="34"/>
      <c r="D7" s="34"/>
      <c r="E7" s="34"/>
      <c r="F7" s="34"/>
      <c r="G7" s="34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3" t="s">
        <v>106</v>
      </c>
      <c r="C9" s="84"/>
      <c r="D9" s="84"/>
      <c r="E9" s="84"/>
      <c r="F9" s="84"/>
      <c r="G9" s="84"/>
      <c r="H9" s="85"/>
      <c r="I9" s="1"/>
    </row>
    <row r="10" spans="1:9" x14ac:dyDescent="0.25">
      <c r="A10" s="1"/>
      <c r="B10" s="96" t="s">
        <v>107</v>
      </c>
      <c r="C10" s="97"/>
      <c r="D10" s="97"/>
      <c r="E10" s="97"/>
      <c r="F10" s="98"/>
      <c r="G10" s="26">
        <f>(G5-G6)*(1+'Fane 15. Nøgletal'!C10)</f>
        <v>30183323.225987252</v>
      </c>
      <c r="H10" s="14" t="s">
        <v>3</v>
      </c>
      <c r="I10" s="1"/>
    </row>
    <row r="11" spans="1:9" x14ac:dyDescent="0.25">
      <c r="A11" s="1"/>
      <c r="B11" s="96" t="s">
        <v>245</v>
      </c>
      <c r="C11" s="97"/>
      <c r="D11" s="97"/>
      <c r="E11" s="97"/>
      <c r="F11" s="98"/>
      <c r="G11" s="26">
        <v>-172313.04415608078</v>
      </c>
      <c r="H11" s="14" t="s">
        <v>3</v>
      </c>
      <c r="I11" s="1"/>
    </row>
    <row r="12" spans="1:9" x14ac:dyDescent="0.25">
      <c r="A12" s="1"/>
      <c r="B12" s="99" t="s">
        <v>108</v>
      </c>
      <c r="C12" s="100"/>
      <c r="D12" s="100"/>
      <c r="E12" s="100"/>
      <c r="F12" s="101"/>
      <c r="G12" s="26">
        <v>0</v>
      </c>
      <c r="H12" s="14" t="s">
        <v>3</v>
      </c>
      <c r="I12" s="1"/>
    </row>
    <row r="13" spans="1:9" x14ac:dyDescent="0.25">
      <c r="A13" s="1"/>
      <c r="B13" s="96" t="s">
        <v>109</v>
      </c>
      <c r="C13" s="97"/>
      <c r="D13" s="97"/>
      <c r="E13" s="97"/>
      <c r="F13" s="98"/>
      <c r="G13" s="26">
        <f>SUM(G10:G12)*'Fane 15. Nøgletal'!C18</f>
        <v>531194.88021841168</v>
      </c>
      <c r="H13" s="14" t="s">
        <v>3</v>
      </c>
      <c r="I13" s="1"/>
    </row>
    <row r="14" spans="1:9" x14ac:dyDescent="0.25">
      <c r="A14" s="1"/>
      <c r="B14" s="40"/>
      <c r="C14" s="34"/>
      <c r="D14" s="34"/>
      <c r="E14" s="34"/>
      <c r="F14" s="34"/>
      <c r="G14" s="34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3" t="s">
        <v>110</v>
      </c>
      <c r="C16" s="84"/>
      <c r="D16" s="84"/>
      <c r="E16" s="84"/>
      <c r="F16" s="84"/>
      <c r="G16" s="84"/>
      <c r="H16" s="85"/>
      <c r="I16" s="1"/>
    </row>
    <row r="17" spans="1:9" x14ac:dyDescent="0.25">
      <c r="A17" s="1"/>
      <c r="B17" s="96" t="s">
        <v>111</v>
      </c>
      <c r="C17" s="97"/>
      <c r="D17" s="97"/>
      <c r="E17" s="97"/>
      <c r="F17" s="98"/>
      <c r="G17" s="26">
        <f>(SUM(G10:G12)-G13)*(1+'Fane 15. Nøgletal'!C10)</f>
        <v>29995712.069390982</v>
      </c>
      <c r="H17" s="14" t="s">
        <v>3</v>
      </c>
      <c r="I17" s="1"/>
    </row>
    <row r="18" spans="1:9" x14ac:dyDescent="0.25">
      <c r="A18" s="1"/>
      <c r="B18" s="99" t="s">
        <v>112</v>
      </c>
      <c r="C18" s="100"/>
      <c r="D18" s="100"/>
      <c r="E18" s="100"/>
      <c r="F18" s="101"/>
      <c r="G18" s="26">
        <v>33406.13563104999</v>
      </c>
      <c r="H18" s="14" t="s">
        <v>3</v>
      </c>
      <c r="I18" s="1"/>
    </row>
    <row r="19" spans="1:9" x14ac:dyDescent="0.25">
      <c r="A19" s="1"/>
      <c r="B19" s="96" t="s">
        <v>113</v>
      </c>
      <c r="C19" s="97"/>
      <c r="D19" s="97"/>
      <c r="E19" s="97"/>
      <c r="F19" s="98"/>
      <c r="G19" s="26">
        <f>G17*'Fane 15. Nøgletal'!C18+G18*'Fane 15. Nøgletal'!C19</f>
        <v>531214.7370082105</v>
      </c>
      <c r="H19" s="14" t="s">
        <v>3</v>
      </c>
      <c r="I19" s="1"/>
    </row>
    <row r="20" spans="1:9" x14ac:dyDescent="0.25">
      <c r="A20" s="1"/>
      <c r="B20" s="40"/>
      <c r="C20" s="34"/>
      <c r="D20" s="34"/>
      <c r="E20" s="34"/>
      <c r="F20" s="34"/>
      <c r="G20" s="34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3" t="s">
        <v>114</v>
      </c>
      <c r="C22" s="84"/>
      <c r="D22" s="84"/>
      <c r="E22" s="84"/>
      <c r="F22" s="84"/>
      <c r="G22" s="84"/>
      <c r="H22" s="85"/>
      <c r="I22" s="1"/>
    </row>
    <row r="23" spans="1:9" x14ac:dyDescent="0.25">
      <c r="A23" s="1"/>
      <c r="B23" s="96" t="s">
        <v>115</v>
      </c>
      <c r="C23" s="97"/>
      <c r="D23" s="97"/>
      <c r="E23" s="97"/>
      <c r="F23" s="98"/>
      <c r="G23" s="26">
        <f>(G17+G18-G19)*(1+'Fane 15. Nøgletal'!C12)</f>
        <v>30079012.166333698</v>
      </c>
      <c r="H23" s="14" t="s">
        <v>3</v>
      </c>
      <c r="I23" s="1"/>
    </row>
    <row r="24" spans="1:9" x14ac:dyDescent="0.25">
      <c r="A24" s="1"/>
      <c r="B24" s="99" t="s">
        <v>116</v>
      </c>
      <c r="C24" s="100"/>
      <c r="D24" s="100"/>
      <c r="E24" s="100"/>
      <c r="F24" s="101"/>
      <c r="G24" s="26">
        <f>('Fane 2.1. Økonomisk ramme 2020'!C11+'Fane 2.1. Økonomisk ramme 2020'!C13+'Fane 2.1. Økonomisk ramme 2020'!C15)*(1+'Fane 15. Nøgletal'!C12)</f>
        <v>46405.950414318002</v>
      </c>
      <c r="H24" s="14" t="s">
        <v>3</v>
      </c>
      <c r="I24" s="1"/>
    </row>
    <row r="25" spans="1:9" x14ac:dyDescent="0.25">
      <c r="A25" s="1"/>
      <c r="B25" s="96" t="s">
        <v>117</v>
      </c>
      <c r="C25" s="97"/>
      <c r="D25" s="97"/>
      <c r="E25" s="97"/>
      <c r="F25" s="98"/>
      <c r="G25" s="26">
        <f>(G23+G24)*'Fane 15. Nøgletal'!C20</f>
        <v>855561.87451564369</v>
      </c>
      <c r="H25" s="14" t="s">
        <v>3</v>
      </c>
      <c r="I25" s="1"/>
    </row>
    <row r="26" spans="1:9" x14ac:dyDescent="0.25">
      <c r="A26" s="1"/>
      <c r="B26" s="40"/>
      <c r="C26" s="34"/>
      <c r="D26" s="34"/>
      <c r="E26" s="34"/>
      <c r="F26" s="34"/>
      <c r="G26" s="34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3" t="s">
        <v>118</v>
      </c>
      <c r="C28" s="84"/>
      <c r="D28" s="84"/>
      <c r="E28" s="84"/>
      <c r="F28" s="84"/>
      <c r="G28" s="84"/>
      <c r="H28" s="85"/>
      <c r="I28" s="1"/>
    </row>
    <row r="29" spans="1:9" x14ac:dyDescent="0.25">
      <c r="A29" s="1"/>
      <c r="B29" s="96" t="s">
        <v>119</v>
      </c>
      <c r="C29" s="97"/>
      <c r="D29" s="97"/>
      <c r="E29" s="97"/>
      <c r="F29" s="98"/>
      <c r="G29" s="26">
        <f>(G23+G24-G25)*(1+'Fane 15. Nøgletal'!C12)</f>
        <v>29846472.410204351</v>
      </c>
      <c r="H29" s="14" t="s">
        <v>3</v>
      </c>
      <c r="I29" s="1"/>
    </row>
    <row r="30" spans="1:9" x14ac:dyDescent="0.25">
      <c r="A30" s="1"/>
      <c r="B30" s="96" t="s">
        <v>155</v>
      </c>
      <c r="C30" s="97"/>
      <c r="D30" s="97"/>
      <c r="E30" s="97"/>
      <c r="F30" s="98"/>
      <c r="G30" s="26">
        <f>-'Fane 13. Bortfald'!E18*(1+'Fane 15. Nøgletal'!C12)</f>
        <v>0</v>
      </c>
      <c r="H30" s="14" t="s">
        <v>3</v>
      </c>
      <c r="I30" s="1"/>
    </row>
    <row r="31" spans="1:9" x14ac:dyDescent="0.25">
      <c r="A31" s="1"/>
      <c r="B31" s="96" t="s">
        <v>120</v>
      </c>
      <c r="C31" s="97"/>
      <c r="D31" s="97"/>
      <c r="E31" s="97"/>
      <c r="F31" s="98"/>
      <c r="G31" s="26">
        <f>(G29+G30)*'Fane 15. Nøgletal'!C20</f>
        <v>847639.81644980365</v>
      </c>
      <c r="H31" s="14" t="s">
        <v>3</v>
      </c>
      <c r="I31" s="1"/>
    </row>
    <row r="32" spans="1:9" x14ac:dyDescent="0.25">
      <c r="A32" s="1"/>
      <c r="B32" s="40"/>
      <c r="C32" s="34"/>
      <c r="D32" s="34"/>
      <c r="E32" s="34"/>
      <c r="F32" s="34"/>
      <c r="G32" s="34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3" t="s">
        <v>129</v>
      </c>
      <c r="C34" s="84"/>
      <c r="D34" s="84"/>
      <c r="E34" s="84"/>
      <c r="F34" s="84"/>
      <c r="G34" s="84"/>
      <c r="H34" s="85"/>
      <c r="I34" s="1"/>
    </row>
    <row r="35" spans="1:9" x14ac:dyDescent="0.25">
      <c r="A35" s="1"/>
      <c r="B35" s="96" t="s">
        <v>124</v>
      </c>
      <c r="C35" s="97"/>
      <c r="D35" s="97"/>
      <c r="E35" s="97"/>
      <c r="F35" s="98"/>
      <c r="G35" s="26">
        <f>(G29+G30-G31)*(1+'Fane 15. Nøgletal'!C12)</f>
        <v>29570109.595851514</v>
      </c>
      <c r="H35" s="14" t="s">
        <v>3</v>
      </c>
      <c r="I35" s="1"/>
    </row>
    <row r="36" spans="1:9" x14ac:dyDescent="0.25">
      <c r="A36" s="1"/>
      <c r="B36" s="96" t="s">
        <v>156</v>
      </c>
      <c r="C36" s="97"/>
      <c r="D36" s="97"/>
      <c r="E36" s="97"/>
      <c r="F36" s="98"/>
      <c r="G36" s="26">
        <f>-'Fane 13. Bortfald'!E24*(1+'Fane 15. Nøgletal'!C12)</f>
        <v>0</v>
      </c>
      <c r="H36" s="14" t="s">
        <v>3</v>
      </c>
      <c r="I36" s="1"/>
    </row>
    <row r="37" spans="1:9" x14ac:dyDescent="0.25">
      <c r="A37" s="1"/>
      <c r="B37" s="96" t="s">
        <v>121</v>
      </c>
      <c r="C37" s="97"/>
      <c r="D37" s="97"/>
      <c r="E37" s="97"/>
      <c r="F37" s="98"/>
      <c r="G37" s="26">
        <f>(G35+G36)*'Fane 15. Nøgletal'!C20</f>
        <v>839791.1125221831</v>
      </c>
      <c r="H37" s="14" t="s">
        <v>3</v>
      </c>
      <c r="I37" s="1"/>
    </row>
    <row r="38" spans="1:9" x14ac:dyDescent="0.25">
      <c r="A38" s="1"/>
      <c r="B38" s="40"/>
      <c r="C38" s="34"/>
      <c r="D38" s="34"/>
      <c r="E38" s="34"/>
      <c r="F38" s="34"/>
      <c r="G38" s="34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3" t="s">
        <v>130</v>
      </c>
      <c r="C40" s="84"/>
      <c r="D40" s="84"/>
      <c r="E40" s="84"/>
      <c r="F40" s="84"/>
      <c r="G40" s="84"/>
      <c r="H40" s="85"/>
      <c r="I40" s="1"/>
    </row>
    <row r="41" spans="1:9" x14ac:dyDescent="0.25">
      <c r="A41" s="1"/>
      <c r="B41" s="96" t="s">
        <v>123</v>
      </c>
      <c r="C41" s="97"/>
      <c r="D41" s="97"/>
      <c r="E41" s="97"/>
      <c r="F41" s="98"/>
      <c r="G41" s="26">
        <f>(G35+G36-G37)*(1+'Fane 15. Nøgletal'!C12)</f>
        <v>29296305.75745092</v>
      </c>
      <c r="H41" s="14" t="s">
        <v>3</v>
      </c>
      <c r="I41" s="1"/>
    </row>
    <row r="42" spans="1:9" x14ac:dyDescent="0.25">
      <c r="A42" s="1"/>
      <c r="B42" s="96" t="s">
        <v>157</v>
      </c>
      <c r="C42" s="97"/>
      <c r="D42" s="97"/>
      <c r="E42" s="97"/>
      <c r="F42" s="98"/>
      <c r="G42" s="26">
        <f>-'Fane 13. Bortfald'!E30*(1+'Fane 15. Nøgletal'!C12)</f>
        <v>0</v>
      </c>
      <c r="H42" s="14" t="s">
        <v>3</v>
      </c>
      <c r="I42" s="1"/>
    </row>
    <row r="43" spans="1:9" x14ac:dyDescent="0.25">
      <c r="A43" s="1"/>
      <c r="B43" s="96" t="s">
        <v>122</v>
      </c>
      <c r="C43" s="97"/>
      <c r="D43" s="97"/>
      <c r="E43" s="97"/>
      <c r="F43" s="98"/>
      <c r="G43" s="26">
        <f>(G41+G42)*'Fane 15. Nøgletal'!C20</f>
        <v>832015.08351160621</v>
      </c>
      <c r="H43" s="14" t="s">
        <v>3</v>
      </c>
      <c r="I43" s="1"/>
    </row>
    <row r="44" spans="1:9" x14ac:dyDescent="0.25">
      <c r="A44" s="1"/>
      <c r="B44" s="40"/>
      <c r="C44" s="34"/>
      <c r="D44" s="34"/>
      <c r="E44" s="34"/>
      <c r="F44" s="34"/>
      <c r="G44" s="34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kKGnzomI5hN5O5vuts+RNcrLBXYFASxzcMiSWxA7X9zYEkYVhfsJJUjf78JijueG+Zi85aebA48YWOYULTOvAA==" saltValue="zpVHhs8p1RS2Sh6fPlYN4Q==" spinCount="100000" sheet="1" objects="1" scenarios="1"/>
  <mergeCells count="29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148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3" t="s">
        <v>10</v>
      </c>
      <c r="C8" s="84"/>
      <c r="D8" s="84"/>
      <c r="E8" s="84"/>
      <c r="F8" s="84"/>
      <c r="G8" s="84"/>
      <c r="H8" s="85"/>
      <c r="I8" s="1"/>
    </row>
    <row r="9" spans="1:9" x14ac:dyDescent="0.25">
      <c r="A9" s="1"/>
      <c r="B9" s="96" t="s">
        <v>131</v>
      </c>
      <c r="C9" s="97"/>
      <c r="D9" s="97"/>
      <c r="E9" s="97"/>
      <c r="F9" s="98"/>
      <c r="G9" s="25">
        <v>5.2118199662228581E-3</v>
      </c>
      <c r="H9" s="14"/>
      <c r="I9" s="1"/>
    </row>
    <row r="10" spans="1:9" x14ac:dyDescent="0.25">
      <c r="A10" s="1"/>
      <c r="B10" s="96" t="s">
        <v>132</v>
      </c>
      <c r="C10" s="97"/>
      <c r="D10" s="97"/>
      <c r="E10" s="97"/>
      <c r="F10" s="98"/>
      <c r="G10" s="25">
        <v>7.6297360015029009E-3</v>
      </c>
      <c r="H10" s="14"/>
      <c r="I10" s="1"/>
    </row>
    <row r="11" spans="1:9" x14ac:dyDescent="0.25">
      <c r="A11" s="1"/>
      <c r="B11" s="96" t="s">
        <v>133</v>
      </c>
      <c r="C11" s="97"/>
      <c r="D11" s="97"/>
      <c r="E11" s="97"/>
      <c r="F11" s="98"/>
      <c r="G11" s="43">
        <v>7.6534215257374836E-3</v>
      </c>
      <c r="H11" s="14"/>
      <c r="I11" s="1"/>
    </row>
    <row r="12" spans="1:9" x14ac:dyDescent="0.25">
      <c r="A12" s="1"/>
      <c r="B12" s="40"/>
      <c r="C12" s="34"/>
      <c r="D12" s="34"/>
      <c r="E12" s="34"/>
      <c r="F12" s="34"/>
      <c r="G12" s="34"/>
      <c r="H12" s="22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ht="30.75" customHeight="1" x14ac:dyDescent="0.25">
      <c r="A14" s="20"/>
      <c r="B14" s="103" t="s">
        <v>78</v>
      </c>
      <c r="C14" s="103"/>
      <c r="D14" s="103"/>
      <c r="E14" s="103"/>
      <c r="F14" s="103"/>
      <c r="G14" s="103"/>
      <c r="H14" s="103"/>
      <c r="I14" s="20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KaAoX37E9qfTXDrSqsbO/372zkD10BaQcC6bPOlKJVgU1jL9YupNk/USAsYAKFNS7fRqaza761gcth3mP3KCQ==" saltValue="L/r/lg6QwNccwL5tLn0u1w==" spinCount="100000" sheet="1" objects="1" scenarios="1"/>
  <mergeCells count="6">
    <mergeCell ref="B3:H4"/>
    <mergeCell ref="B14:H14"/>
    <mergeCell ref="B9:F9"/>
    <mergeCell ref="B8:H8"/>
    <mergeCell ref="B10:F10"/>
    <mergeCell ref="B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2019-10-15T09:00:27Z</dcterms:modified>
</cp:coreProperties>
</file>