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Tune Vandværk a.m.b.a. (V189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3" i="37" s="1"/>
  <c r="C14" i="37" s="1"/>
  <c r="G11" i="11"/>
  <c r="E11" i="21" l="1"/>
  <c r="C11" i="21"/>
  <c r="E11" i="29"/>
  <c r="C11" i="29"/>
  <c r="C14" i="19"/>
  <c r="C15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3" i="37" s="1"/>
  <c r="E14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<sst xmlns="http://schemas.openxmlformats.org/spreadsheetml/2006/main" count="430" uniqueCount="166">
  <si>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</si>
  <si>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</si>
  <si>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</si>
  <si>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</si>
  <si>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</si>
  <si>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</si>
  <si>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</si>
  <si>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</si>
  <si>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</si>
  <si>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</si>
  <si>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</si>
  <si>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</si>
  <si>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</si>
  <si>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</si>
  <si>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</si>
  <si>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</si>
  <si>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</si>
  <si>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</si>
  <si>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</si>
  <si>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</si>
  <si>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</si>
  <si>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</si>
  <si>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</si>
  <si>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</si>
  <si>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</si>
  <si>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</si>
  <si>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</si>
  <si>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</si>
  <si>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</si>
  <si>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</si>
  <si>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</si>
  <si>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</si>
  <si>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</si>
  <si>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</si>
  <si>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</si>
  <si>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</si>
  <si>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</si>
  <si>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</si>
  <si>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</si>
  <si>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</si>
  <si>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</si>
  <si>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</si>
  <si>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</si>
  <si>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</si>
  <si>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</si>
  <si>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</si>
  <si>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</si>
  <si>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</si>
  <si>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</si>
  <si>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</si>
  <si>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</si>
  <si>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</si>
  <si>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</si>
  <si>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</si>
  <si>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</si>
  <si>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</si>
  <si>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</si>
  <si>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</si>
  <si>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</si>
  <si>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</si>
  <si>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</si>
  <si>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</si>
  <si>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</si>
  <si>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</si>
  <si>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</si>
  <si>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</si>
  <si>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</si>
  <si>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</si>
  <si>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</si>
  <si>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</si>
  <si>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</si>
  <si>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</si>
  <si>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</si>
  <si>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</si>
  <si>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</si>
  <si>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</si>
  <si>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</si>
  <si>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</si>
  <si>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</si>
  <si>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</si>
  <si>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</si>
  <si>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</si>
  <si>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</si>
  <si>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</si>
  <si>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</si>
  <si>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</si>
  <si>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</si>
  <si>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</si>
  <si>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</si>
  <si>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</si>
  <si>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</si>
  <si>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</si>
  <si>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</si>
  <si>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</si>
  <si>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</si>
  <si>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</si>
  <si>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</si>
  <si>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</si>
  <si>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</si>
  <si>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</si>
  <si>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</si>
  <si>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</si>
  <si>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</si>
  <si>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</si>
  <si>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</si>
  <si>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</si>
  <si>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</si>
  <si>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</si>
  <si>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</si>
  <si>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</si>
  <si>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</si>
  <si>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</si>
  <si>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</si>
  <si>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</si>
  <si>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</si>
  <si>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</si>
  <si>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</si>
  <si>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</si>
  <si>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</si>
  <si>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</si>
  <si>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</si>
  <si>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</si>
  <si>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</si>
  <si>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</si>
  <si>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</si>
  <si>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</si>
  <si>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</si>
  <si>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</si>
  <si>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</si>
  <si>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</si>
  <si>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</si>
  <si>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</si>
  <si>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</si>
  <si>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</si>
  <si>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</si>
  <si>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</si>
  <si>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</si>
  <si>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</si>
  <si>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</si>
  <si>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</si>
  <si>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</si>
  <si>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</si>
  <si>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</si>
  <si>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</si>
  <si>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</si>
  <si>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</si>
  <si>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</si>
  <si>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</si>
  <si>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</si>
  <si>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</si>
  <si>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</si>
  <si>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</si>
  <si>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</si>
  <si>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</si>
  <si>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</si>
  <si>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</si>
  <si>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</si>
  <si>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Afgift til Forsyningssekretariatet</t>
  </si>
  <si>
    <t>Undersøgelsesudgifter i forbindelse med fusion</t>
  </si>
  <si>
    <t>Nødforsyning</t>
  </si>
  <si>
    <t>Tilslutninger</t>
  </si>
  <si>
    <t>Ingen engangstillæg</t>
  </si>
  <si>
    <t>Korrektion af grundlag</t>
  </si>
  <si>
    <t>Ingen anlægsprojekter</t>
  </si>
  <si>
    <t>Anlægsprojekter igangsat senest 1. marts 2016</t>
  </si>
  <si>
    <t>Afgift for ledningsført vand (Greve Vandværk)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</si>
</sst>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2" t="s">
        <v>4</v>
      </c>
      <c r="E6" s="52"/>
      <c r="F6" s="52"/>
      <c r="G6" s="52"/>
      <c r="H6" s="3"/>
      <c r="I6" s="1"/>
    </row>
    <row r="7" spans="1:9" ht="15" customHeight="1" x14ac:dyDescent="0.25">
      <c r="A7" s="1"/>
      <c r="B7" s="1"/>
      <c r="C7" s="3"/>
      <c r="D7" s="52"/>
      <c r="E7" s="52"/>
      <c r="F7" s="52"/>
      <c r="G7" s="52"/>
      <c r="H7" s="3"/>
      <c r="I7" s="1"/>
    </row>
    <row r="8" spans="1:9" ht="15.75" x14ac:dyDescent="0.25">
      <c r="A8" s="1"/>
      <c r="B8" s="1"/>
      <c r="C8" s="4"/>
      <c r="D8" s="57" t="s">
        <v>116</v>
      </c>
      <c r="E8" s="57"/>
      <c r="F8" s="57"/>
      <c r="G8" s="5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6" t="s">
        <v>5</v>
      </c>
      <c r="E11" s="56"/>
      <c r="F11" s="56"/>
      <c r="G11" s="5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9" t="s">
        <v>49</v>
      </c>
      <c r="E13" s="50"/>
      <c r="F13" s="50"/>
      <c r="G13" s="51"/>
      <c r="H13" s="1"/>
      <c r="I13" s="1"/>
    </row>
    <row r="14" spans="1:9" x14ac:dyDescent="0.25">
      <c r="A14" s="1"/>
      <c r="B14" s="1"/>
      <c r="C14" s="6" t="s">
        <v>22</v>
      </c>
      <c r="D14" s="49" t="s">
        <v>117</v>
      </c>
      <c r="E14" s="50"/>
      <c r="F14" s="50"/>
      <c r="G14" s="51"/>
      <c r="H14" s="1"/>
      <c r="I14" s="1"/>
    </row>
    <row r="15" spans="1:9" x14ac:dyDescent="0.25">
      <c r="A15" s="1"/>
      <c r="B15" s="1"/>
      <c r="C15" s="6" t="s">
        <v>48</v>
      </c>
      <c r="D15" s="49" t="s">
        <v>75</v>
      </c>
      <c r="E15" s="50"/>
      <c r="F15" s="50"/>
      <c r="G15" s="51"/>
      <c r="H15" s="1"/>
      <c r="I15" s="1"/>
    </row>
    <row r="16" spans="1:9" x14ac:dyDescent="0.25">
      <c r="A16" s="1"/>
      <c r="B16" s="1"/>
      <c r="C16" s="6" t="s">
        <v>50</v>
      </c>
      <c r="D16" s="49" t="s">
        <v>76</v>
      </c>
      <c r="E16" s="50"/>
      <c r="F16" s="50"/>
      <c r="G16" s="51"/>
      <c r="H16" s="1"/>
      <c r="I16" s="1"/>
    </row>
    <row r="17" spans="1:9" x14ac:dyDescent="0.25">
      <c r="A17" s="1"/>
      <c r="B17" s="1"/>
      <c r="C17" s="6" t="s">
        <v>139</v>
      </c>
      <c r="D17" s="49" t="s">
        <v>57</v>
      </c>
      <c r="E17" s="50"/>
      <c r="F17" s="50"/>
      <c r="G17" s="51"/>
      <c r="H17" s="1"/>
      <c r="I17" s="1"/>
    </row>
    <row r="18" spans="1:9" x14ac:dyDescent="0.25">
      <c r="A18" s="1"/>
      <c r="B18" s="1"/>
      <c r="C18" s="6" t="s">
        <v>7</v>
      </c>
      <c r="D18" s="61" t="s">
        <v>16</v>
      </c>
      <c r="E18" s="62"/>
      <c r="F18" s="62"/>
      <c r="G18" s="63"/>
      <c r="H18" s="1"/>
      <c r="I18" s="1"/>
    </row>
    <row r="19" spans="1:9" x14ac:dyDescent="0.25">
      <c r="A19" s="1"/>
      <c r="B19" s="1"/>
      <c r="C19" s="6" t="s">
        <v>8</v>
      </c>
      <c r="D19" s="53" t="s">
        <v>97</v>
      </c>
      <c r="E19" s="54"/>
      <c r="F19" s="54"/>
      <c r="G19" s="55"/>
      <c r="H19" s="1"/>
      <c r="I19" s="1"/>
    </row>
    <row r="20" spans="1:9" x14ac:dyDescent="0.25">
      <c r="A20" s="1"/>
      <c r="B20" s="1"/>
      <c r="C20" s="6" t="s">
        <v>123</v>
      </c>
      <c r="D20" s="53" t="s">
        <v>147</v>
      </c>
      <c r="E20" s="54"/>
      <c r="F20" s="54"/>
      <c r="G20" s="55"/>
      <c r="H20" s="1"/>
      <c r="I20" s="1"/>
    </row>
    <row r="21" spans="1:9" x14ac:dyDescent="0.25">
      <c r="A21" s="1"/>
      <c r="B21" s="1"/>
      <c r="C21" s="6" t="s">
        <v>82</v>
      </c>
      <c r="D21" s="53" t="s">
        <v>51</v>
      </c>
      <c r="E21" s="54"/>
      <c r="F21" s="54"/>
      <c r="G21" s="55"/>
      <c r="H21" s="1"/>
      <c r="I21" s="1"/>
    </row>
    <row r="22" spans="1:9" x14ac:dyDescent="0.25">
      <c r="A22" s="1"/>
      <c r="B22" s="1"/>
      <c r="C22" s="6" t="s">
        <v>124</v>
      </c>
      <c r="D22" s="53" t="s">
        <v>83</v>
      </c>
      <c r="E22" s="54"/>
      <c r="F22" s="54"/>
      <c r="G22" s="55"/>
      <c r="H22" s="1"/>
      <c r="I22" s="1"/>
    </row>
    <row r="23" spans="1:9" x14ac:dyDescent="0.25">
      <c r="A23" s="1"/>
      <c r="B23" s="1"/>
      <c r="C23" s="6" t="s">
        <v>125</v>
      </c>
      <c r="D23" s="53" t="s">
        <v>84</v>
      </c>
      <c r="E23" s="54"/>
      <c r="F23" s="54"/>
      <c r="G23" s="55"/>
      <c r="H23" s="1"/>
      <c r="I23" s="1"/>
    </row>
    <row r="24" spans="1:9" x14ac:dyDescent="0.25">
      <c r="A24" s="1"/>
      <c r="B24" s="1"/>
      <c r="C24" s="6" t="s">
        <v>9</v>
      </c>
      <c r="D24" s="53" t="s">
        <v>52</v>
      </c>
      <c r="E24" s="54"/>
      <c r="F24" s="54"/>
      <c r="G24" s="55"/>
      <c r="H24" s="1"/>
      <c r="I24" s="1"/>
    </row>
    <row r="25" spans="1:9" x14ac:dyDescent="0.25">
      <c r="A25" s="1"/>
      <c r="B25" s="1"/>
      <c r="C25" s="6" t="s">
        <v>96</v>
      </c>
      <c r="D25" s="53" t="s">
        <v>53</v>
      </c>
      <c r="E25" s="54"/>
      <c r="F25" s="54"/>
      <c r="G25" s="55"/>
      <c r="H25" s="1"/>
      <c r="I25" s="1"/>
    </row>
    <row r="26" spans="1:9" x14ac:dyDescent="0.25">
      <c r="A26" s="1"/>
      <c r="B26" s="1"/>
      <c r="C26" s="6" t="s">
        <v>126</v>
      </c>
      <c r="D26" s="64" t="s">
        <v>10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21</v>
      </c>
      <c r="D27" s="58" t="s">
        <v>127</v>
      </c>
      <c r="E27" s="59"/>
      <c r="F27" s="59"/>
      <c r="G27" s="60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/12dOSK3CPGwMYDhBYZNcquWgEBhxsKF2CPyby9tGCflmKdmE74kGEDrIIH/ONqJkyQYvg6flt74lzBRpbSUTw==" saltValue="VNE0+IwPNsn/VtyDrK5lBQ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151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8" t="s">
        <v>152</v>
      </c>
      <c r="C8" s="79"/>
      <c r="D8" s="79"/>
      <c r="E8" s="79"/>
      <c r="F8" s="79"/>
      <c r="G8" s="79"/>
      <c r="H8" s="80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7" t="s">
        <v>2</v>
      </c>
      <c r="F9" s="37" t="s">
        <v>15</v>
      </c>
      <c r="G9" s="37" t="s">
        <v>41</v>
      </c>
      <c r="H9" s="46"/>
      <c r="I9" s="1"/>
    </row>
    <row r="10" spans="1:9" x14ac:dyDescent="0.25">
      <c r="A10" s="1"/>
      <c r="B10" s="34" t="s">
        <v>163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8" t="s">
        <v>153</v>
      </c>
      <c r="C11" s="79"/>
      <c r="D11" s="8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PM513i4q67+ENho7XBNJv7hj94wy8Hr4gwwsC5Bk6WY+6h+rmHKTPsizVCNDFfkaEqnhti61g/1+mf8lSa3xA==" saltValue="H8hNfEhm9OgygWvwGSuqp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120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7" t="s">
        <v>79</v>
      </c>
      <c r="C8" s="24"/>
      <c r="D8" s="24"/>
      <c r="E8" s="24"/>
      <c r="F8" s="48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6"/>
      <c r="G9" s="1"/>
    </row>
    <row r="10" spans="1:7" x14ac:dyDescent="0.25">
      <c r="A10" s="1"/>
      <c r="B10" s="22" t="s">
        <v>164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36" t="s">
        <v>159</v>
      </c>
      <c r="C11" s="21">
        <v>0</v>
      </c>
      <c r="D11" s="12" t="s">
        <v>3</v>
      </c>
      <c r="E11" s="8">
        <v>1019</v>
      </c>
      <c r="F11" s="12" t="s">
        <v>3</v>
      </c>
      <c r="G11" s="1"/>
    </row>
    <row r="12" spans="1:7" x14ac:dyDescent="0.25">
      <c r="A12" s="1"/>
      <c r="B12" s="22" t="s">
        <v>160</v>
      </c>
      <c r="C12" s="21">
        <v>0</v>
      </c>
      <c r="D12" s="12" t="s">
        <v>3</v>
      </c>
      <c r="E12" s="8">
        <v>3717</v>
      </c>
      <c r="F12" s="12" t="s">
        <v>3</v>
      </c>
      <c r="G12" s="1"/>
    </row>
    <row r="13" spans="1:7" x14ac:dyDescent="0.25">
      <c r="A13" s="1"/>
      <c r="B13" s="47" t="s">
        <v>54</v>
      </c>
      <c r="C13" s="10">
        <f>SUM(C10:C12)</f>
        <v>0</v>
      </c>
      <c r="D13" s="11" t="s">
        <v>3</v>
      </c>
      <c r="E13" s="10">
        <f>SUM(E10:E12)</f>
        <v>4736</v>
      </c>
      <c r="F13" s="11" t="s">
        <v>3</v>
      </c>
      <c r="G13" s="1"/>
    </row>
    <row r="14" spans="1:7" x14ac:dyDescent="0.25">
      <c r="A14" s="1"/>
      <c r="B14" s="47" t="s">
        <v>63</v>
      </c>
      <c r="C14" s="10">
        <f>C13*(1+'Fane 12. Nøgletal'!C12)</f>
        <v>0</v>
      </c>
      <c r="D14" s="11" t="s">
        <v>3</v>
      </c>
      <c r="E14" s="10">
        <f>E13*(1+'Fane 12. Nøgletal'!C12)</f>
        <v>4829.2992000000004</v>
      </c>
      <c r="F14" s="11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D5JTKAdm08psyU01CCCX9ufZudq6R1rMGJkowRHuH6Wt2tHgBTkGTQXCoXpmJ+ZtNzOx8W6gh4/DNBS77/Dzkg==" saltValue="H5lRydVBTlzoK6Ggd6ydq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121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102</v>
      </c>
      <c r="C8" s="79"/>
      <c r="D8" s="79"/>
      <c r="E8" s="79"/>
      <c r="F8" s="80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6"/>
      <c r="G9" s="1"/>
    </row>
    <row r="10" spans="1:7" x14ac:dyDescent="0.25">
      <c r="A10" s="1"/>
      <c r="B10" s="22" t="s">
        <v>161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7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7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8" t="s">
        <v>103</v>
      </c>
      <c r="C15" s="79"/>
      <c r="D15" s="79"/>
      <c r="E15" s="79"/>
      <c r="F15" s="80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6"/>
      <c r="G16" s="1"/>
    </row>
    <row r="17" spans="1:7" x14ac:dyDescent="0.25">
      <c r="A17" s="1"/>
      <c r="B17" s="22" t="s">
        <v>161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7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7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8" t="s">
        <v>104</v>
      </c>
      <c r="C22" s="79"/>
      <c r="D22" s="79"/>
      <c r="E22" s="79"/>
      <c r="F22" s="80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6"/>
      <c r="G23" s="1"/>
    </row>
    <row r="24" spans="1:7" x14ac:dyDescent="0.25">
      <c r="A24" s="1"/>
      <c r="B24" s="22" t="s">
        <v>161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7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7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8" t="s">
        <v>105</v>
      </c>
      <c r="C29" s="79"/>
      <c r="D29" s="79"/>
      <c r="E29" s="79"/>
      <c r="F29" s="80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6"/>
      <c r="G30" s="1"/>
    </row>
    <row r="31" spans="1:7" x14ac:dyDescent="0.25">
      <c r="A31" s="1"/>
      <c r="B31" s="22" t="s">
        <v>161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7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7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lRzsfY2Lvci+pl7iC7hUxpjB3jTF3/giIcL87wokw7pUKmQJDG4bwPsAL2FFLOL0XqyuZxL2JWpkjlnIwgpWtw==" saltValue="1F8Lzy08052K0wIKilGvm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134</v>
      </c>
      <c r="C3" s="72"/>
      <c r="D3" s="72"/>
      <c r="E3" s="72"/>
      <c r="F3" s="72"/>
      <c r="G3" s="1"/>
    </row>
    <row r="4" spans="1:7" ht="25.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32</v>
      </c>
      <c r="C8" s="79"/>
      <c r="D8" s="79"/>
      <c r="E8" s="79"/>
      <c r="F8" s="80"/>
      <c r="G8" s="1"/>
    </row>
    <row r="9" spans="1:7" ht="15" customHeight="1" x14ac:dyDescent="0.25">
      <c r="A9" s="1"/>
      <c r="B9" s="45" t="s">
        <v>33</v>
      </c>
      <c r="C9" s="90" t="s">
        <v>15</v>
      </c>
      <c r="D9" s="91"/>
      <c r="E9" s="90" t="s">
        <v>42</v>
      </c>
      <c r="F9" s="91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/qRRBbmc9Y8wP+wbZcZaDmKK/+JvvvPCCSRdRpoAMOmR+rkJRB0bJ5NK3sRIBUdsBgux+YX7tq1NCNugFNST/Q==" saltValue="TVnpQMso47ErgZROI+rQy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135</v>
      </c>
      <c r="C3" s="72"/>
      <c r="D3" s="72"/>
      <c r="E3" s="72"/>
      <c r="F3" s="72"/>
      <c r="G3" s="1"/>
    </row>
    <row r="4" spans="1:7" ht="25.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91</v>
      </c>
      <c r="C8" s="79"/>
      <c r="D8" s="79"/>
      <c r="E8" s="79"/>
      <c r="F8" s="80"/>
      <c r="G8" s="1"/>
    </row>
    <row r="9" spans="1:7" ht="15" customHeight="1" x14ac:dyDescent="0.25">
      <c r="A9" s="1"/>
      <c r="B9" s="45" t="s">
        <v>25</v>
      </c>
      <c r="C9" s="45" t="s">
        <v>15</v>
      </c>
      <c r="D9" s="46"/>
      <c r="E9" s="45" t="s">
        <v>42</v>
      </c>
      <c r="F9" s="46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7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7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92</v>
      </c>
      <c r="C14" s="79"/>
      <c r="D14" s="79"/>
      <c r="E14" s="79"/>
      <c r="F14" s="80"/>
      <c r="G14" s="1"/>
    </row>
    <row r="15" spans="1:7" ht="26.25" x14ac:dyDescent="0.25">
      <c r="A15" s="1"/>
      <c r="B15" s="45" t="s">
        <v>25</v>
      </c>
      <c r="C15" s="45" t="s">
        <v>15</v>
      </c>
      <c r="D15" s="46"/>
      <c r="E15" s="45" t="s">
        <v>42</v>
      </c>
      <c r="F15" s="46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7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7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8" t="s">
        <v>90</v>
      </c>
      <c r="C20" s="79"/>
      <c r="D20" s="79"/>
      <c r="E20" s="79"/>
      <c r="F20" s="80"/>
      <c r="G20" s="1"/>
    </row>
    <row r="21" spans="1:7" ht="26.25" x14ac:dyDescent="0.25">
      <c r="A21" s="1"/>
      <c r="B21" s="45" t="s">
        <v>25</v>
      </c>
      <c r="C21" s="45" t="s">
        <v>15</v>
      </c>
      <c r="D21" s="46"/>
      <c r="E21" s="45" t="s">
        <v>42</v>
      </c>
      <c r="F21" s="46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7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7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8" t="s">
        <v>93</v>
      </c>
      <c r="C26" s="79"/>
      <c r="D26" s="79"/>
      <c r="E26" s="79"/>
      <c r="F26" s="80"/>
      <c r="G26" s="1"/>
    </row>
    <row r="27" spans="1:7" ht="26.25" x14ac:dyDescent="0.25">
      <c r="A27" s="1"/>
      <c r="B27" s="45" t="s">
        <v>25</v>
      </c>
      <c r="C27" s="45" t="s">
        <v>15</v>
      </c>
      <c r="D27" s="46"/>
      <c r="E27" s="45" t="s">
        <v>42</v>
      </c>
      <c r="F27" s="46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7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7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BMaFx0X2x6OAbRjWnpOXUYW58FySRmTOy2D+vhuau25qokj39eLJnNuEVDN3BdkqwYcFkSKMAL/6ASdZmZuUmQ==" saltValue="NUMK2MbNpz9BI4+/etX7G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136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8" t="s">
        <v>17</v>
      </c>
      <c r="C8" s="79"/>
      <c r="D8" s="79"/>
      <c r="E8" s="79"/>
      <c r="F8" s="79"/>
      <c r="G8" s="79"/>
      <c r="H8" s="80"/>
      <c r="I8" s="1"/>
    </row>
    <row r="9" spans="1:9" x14ac:dyDescent="0.25">
      <c r="A9" s="1"/>
      <c r="B9" s="92" t="s">
        <v>11</v>
      </c>
      <c r="C9" s="93"/>
      <c r="D9" s="93"/>
      <c r="E9" s="93"/>
      <c r="F9" s="94"/>
      <c r="G9" s="8">
        <v>2100026</v>
      </c>
      <c r="H9" s="12" t="s">
        <v>3</v>
      </c>
      <c r="I9" s="1"/>
    </row>
    <row r="10" spans="1:9" x14ac:dyDescent="0.25">
      <c r="A10" s="1"/>
      <c r="B10" s="92" t="s">
        <v>77</v>
      </c>
      <c r="C10" s="93"/>
      <c r="D10" s="93"/>
      <c r="E10" s="93"/>
      <c r="F10" s="94"/>
      <c r="G10" s="8">
        <v>0</v>
      </c>
      <c r="H10" s="12" t="s">
        <v>3</v>
      </c>
      <c r="I10" s="1"/>
    </row>
    <row r="11" spans="1:9" x14ac:dyDescent="0.25">
      <c r="A11" s="1"/>
      <c r="B11" s="92" t="s">
        <v>69</v>
      </c>
      <c r="C11" s="93"/>
      <c r="D11" s="93"/>
      <c r="E11" s="93"/>
      <c r="F11" s="94"/>
      <c r="G11" s="8">
        <v>-1878913.6216931217</v>
      </c>
      <c r="H11" s="12" t="s">
        <v>3</v>
      </c>
      <c r="I11" s="1"/>
    </row>
    <row r="12" spans="1:9" x14ac:dyDescent="0.25">
      <c r="A12" s="1"/>
      <c r="B12" s="95" t="s">
        <v>14</v>
      </c>
      <c r="C12" s="96"/>
      <c r="D12" s="96"/>
      <c r="E12" s="96"/>
      <c r="F12" s="97"/>
      <c r="G12" s="17">
        <f>(G9+G10)+G11</f>
        <v>221112.37830687826</v>
      </c>
      <c r="H12" s="16" t="s">
        <v>3</v>
      </c>
      <c r="I12" s="1"/>
    </row>
    <row r="13" spans="1:9" x14ac:dyDescent="0.25">
      <c r="A13" s="1"/>
      <c r="B13" s="92" t="s">
        <v>12</v>
      </c>
      <c r="C13" s="93"/>
      <c r="D13" s="93"/>
      <c r="E13" s="93"/>
      <c r="F13" s="94"/>
      <c r="G13" s="8">
        <v>1</v>
      </c>
      <c r="H13" s="12" t="s">
        <v>27</v>
      </c>
      <c r="I13" s="1"/>
    </row>
    <row r="14" spans="1:9" x14ac:dyDescent="0.25">
      <c r="A14" s="1"/>
      <c r="B14" s="78" t="s">
        <v>78</v>
      </c>
      <c r="C14" s="79"/>
      <c r="D14" s="79"/>
      <c r="E14" s="79"/>
      <c r="F14" s="80"/>
      <c r="G14" s="10">
        <f>IF(G13 = 0,0,-G12/G13)</f>
        <v>-221112.37830687826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rBrLaFKMTcMBo6J8VttTU8LK4wvOFBCCnfQxIVqnH4BADhqoJ+9DC7aY8oO3PUYTP323UC0XzJYWIyeX1y0N+g==" saltValue="4nbsHpK4jsQfgBOUE+Xw8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2" t="s">
        <v>137</v>
      </c>
      <c r="C3" s="72"/>
      <c r="D3" s="1"/>
    </row>
    <row r="4" spans="1:4" ht="25.5" customHeight="1" x14ac:dyDescent="0.25">
      <c r="A4" s="1"/>
      <c r="B4" s="72"/>
      <c r="C4" s="7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7" t="s">
        <v>20</v>
      </c>
      <c r="C8" s="48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7"/>
      <c r="C13" s="48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7" t="s">
        <v>115</v>
      </c>
      <c r="C16" s="48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8"/>
      <c r="C18" s="99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5D0kKY+PIF6eT54frF5qd8ie+OsFtNAZXl/OwjpL5p66n4Lbh3yissbRFiNUQ7MuEj6aT8oAFWixgcATCqt2mA==" saltValue="qO6izEegcEiC4JiHTi8qTQ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56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19</v>
      </c>
      <c r="C8" s="43"/>
      <c r="D8" s="43"/>
      <c r="E8" s="43"/>
      <c r="F8" s="43"/>
      <c r="G8" s="1"/>
    </row>
    <row r="9" spans="1:7" x14ac:dyDescent="0.25">
      <c r="A9" s="1"/>
      <c r="B9" s="39" t="s">
        <v>35</v>
      </c>
      <c r="C9" s="39"/>
      <c r="D9" s="39"/>
      <c r="E9" s="7">
        <f>'Fane 3. Omkostninger i ØR2019'!E15</f>
        <v>4029610.089530075</v>
      </c>
      <c r="F9" s="39" t="s">
        <v>3</v>
      </c>
      <c r="G9" s="1"/>
    </row>
    <row r="10" spans="1:7" x14ac:dyDescent="0.25">
      <c r="A10" s="1"/>
      <c r="B10" s="41" t="s">
        <v>140</v>
      </c>
      <c r="C10" s="39"/>
      <c r="D10" s="39"/>
      <c r="E10" s="7">
        <f>'Fane 3. Omkostninger i ØR2019'!E10*(1-'Fane 12. Nøgletal'!C17)*(1+'Fane 12. Nøgletal'!C10)</f>
        <v>0</v>
      </c>
      <c r="F10" s="39" t="s">
        <v>3</v>
      </c>
      <c r="G10" s="1"/>
    </row>
    <row r="11" spans="1:7" x14ac:dyDescent="0.25">
      <c r="A11" s="1"/>
      <c r="B11" s="41" t="s">
        <v>143</v>
      </c>
      <c r="C11" s="39"/>
      <c r="D11" s="39"/>
      <c r="E11" s="7">
        <f>('Fane 3. Omkostninger i ØR2019'!E11+'Fane 3. Omkostninger i ØR2019'!E12)*(1-'Fane 12. Nøgletal'!C17)*(1+'Fane 12. Nøgletal'!C11)</f>
        <v>687378.00185234647</v>
      </c>
      <c r="F11" s="39" t="s">
        <v>3</v>
      </c>
      <c r="G11" s="1"/>
    </row>
    <row r="12" spans="1:7" ht="17.100000000000001" customHeight="1" x14ac:dyDescent="0.25">
      <c r="A12" s="1"/>
      <c r="B12" s="31" t="s">
        <v>141</v>
      </c>
      <c r="C12" s="39"/>
      <c r="D12" s="39"/>
      <c r="E12" s="7">
        <f>'Fane 8.1. Varige tillæg'!C14+'Fane 8.1. Varige tillæg'!E14</f>
        <v>4829.2992000000004</v>
      </c>
      <c r="F12" s="39" t="s">
        <v>3</v>
      </c>
      <c r="G12" s="1"/>
    </row>
    <row r="13" spans="1:7" ht="17.100000000000001" customHeight="1" x14ac:dyDescent="0.25">
      <c r="A13" s="1"/>
      <c r="B13" s="31" t="s">
        <v>144</v>
      </c>
      <c r="C13" s="39"/>
      <c r="D13" s="39"/>
      <c r="E13" s="8">
        <f>-('Fane 10. Bortfald'!C12+'Fane 10. Bortfald'!E12)</f>
        <v>0</v>
      </c>
      <c r="F13" s="39" t="s">
        <v>3</v>
      </c>
      <c r="G13" s="1"/>
    </row>
    <row r="14" spans="1:7" ht="17.100000000000001" customHeight="1" x14ac:dyDescent="0.25">
      <c r="A14" s="1"/>
      <c r="B14" s="31" t="s">
        <v>111</v>
      </c>
      <c r="C14" s="39"/>
      <c r="D14" s="39"/>
      <c r="E14" s="8">
        <f>'Fane 9. Tilknyttet aktivitet'!C12+'Fane 9. Tilknyttet aktivitet'!E12</f>
        <v>0</v>
      </c>
      <c r="F14" s="39" t="s">
        <v>3</v>
      </c>
      <c r="G14" s="1"/>
    </row>
    <row r="15" spans="1:7" ht="17.100000000000001" customHeight="1" x14ac:dyDescent="0.25">
      <c r="A15" s="1"/>
      <c r="B15" s="31" t="s">
        <v>26</v>
      </c>
      <c r="C15" s="39"/>
      <c r="D15" s="39"/>
      <c r="E15" s="8">
        <f>(E9-SUM(E10:E11))*'Fane 12. Nøgletal'!C9+E10*'Fane 12. Nøgletal'!C10+E11*'Fane 12. Nøgletal'!C11+SUM(E12:E14)*'Fane 12. Nøgletal'!C12</f>
        <v>54158.172939051801</v>
      </c>
      <c r="F15" s="39" t="s">
        <v>3</v>
      </c>
      <c r="G15" s="1"/>
    </row>
    <row r="16" spans="1:7" ht="17.100000000000001" customHeight="1" x14ac:dyDescent="0.25">
      <c r="A16" s="1"/>
      <c r="B16" s="31" t="s">
        <v>115</v>
      </c>
      <c r="C16" s="39"/>
      <c r="D16" s="39"/>
      <c r="E16" s="8">
        <f>-SUM(E9,E12:E15)*'Fane 12. Nøgletal'!C17</f>
        <v>-69506.158548375155</v>
      </c>
      <c r="F16" s="39" t="s">
        <v>3</v>
      </c>
      <c r="G16" s="1"/>
    </row>
    <row r="17" spans="1:7" ht="17.100000000000001" customHeight="1" x14ac:dyDescent="0.25">
      <c r="A17" s="1"/>
      <c r="B17" s="44" t="s">
        <v>28</v>
      </c>
      <c r="C17" s="42"/>
      <c r="D17" s="42"/>
      <c r="E17" s="9">
        <f>SUM(E9,E12:E16)</f>
        <v>4019091.4031207515</v>
      </c>
      <c r="F17" s="37" t="s">
        <v>3</v>
      </c>
      <c r="G17" s="1"/>
    </row>
    <row r="18" spans="1:7" ht="15" customHeight="1" x14ac:dyDescent="0.25">
      <c r="A18" s="1"/>
      <c r="B18" s="43" t="s">
        <v>16</v>
      </c>
      <c r="C18" s="43"/>
      <c r="D18" s="43"/>
      <c r="E18" s="43"/>
      <c r="F18" s="43"/>
      <c r="G18" s="1"/>
    </row>
    <row r="19" spans="1:7" ht="15" customHeight="1" x14ac:dyDescent="0.25">
      <c r="A19" s="1"/>
      <c r="B19" s="37" t="s">
        <v>16</v>
      </c>
      <c r="C19" s="37"/>
      <c r="D19" s="37"/>
      <c r="E19" s="9">
        <f>'Fane 4. Ikke-påvirkelige omk.'!C15</f>
        <v>1667676.6056035801</v>
      </c>
      <c r="F19" s="37" t="s">
        <v>3</v>
      </c>
      <c r="G19" s="1"/>
    </row>
    <row r="20" spans="1:7" ht="15" customHeight="1" x14ac:dyDescent="0.25">
      <c r="A20" s="1"/>
      <c r="B20" s="43" t="s">
        <v>84</v>
      </c>
      <c r="C20" s="43"/>
      <c r="D20" s="43"/>
      <c r="E20" s="43"/>
      <c r="F20" s="43"/>
      <c r="G20" s="1"/>
    </row>
    <row r="21" spans="1:7" ht="15" customHeight="1" x14ac:dyDescent="0.25">
      <c r="A21" s="1"/>
      <c r="B21" s="31" t="s">
        <v>80</v>
      </c>
      <c r="C21" s="39"/>
      <c r="D21" s="39"/>
      <c r="E21" s="8">
        <f>'Fane 8.2. Engangstillæg'!C13</f>
        <v>0</v>
      </c>
      <c r="F21" s="39" t="s">
        <v>3</v>
      </c>
      <c r="G21" s="1"/>
    </row>
    <row r="22" spans="1:7" ht="15" customHeight="1" x14ac:dyDescent="0.25">
      <c r="A22" s="1"/>
      <c r="B22" s="31" t="s">
        <v>81</v>
      </c>
      <c r="C22" s="39"/>
      <c r="D22" s="39"/>
      <c r="E22" s="8">
        <f>'Fane 8.2. Engangstillæg'!E13</f>
        <v>0</v>
      </c>
      <c r="F22" s="39" t="s">
        <v>3</v>
      </c>
      <c r="G22" s="1"/>
    </row>
    <row r="23" spans="1:7" x14ac:dyDescent="0.25">
      <c r="A23" s="1"/>
      <c r="B23" s="44" t="s">
        <v>85</v>
      </c>
      <c r="C23" s="42"/>
      <c r="D23" s="42"/>
      <c r="E23" s="9">
        <f>SUM(E21:E22)</f>
        <v>0</v>
      </c>
      <c r="F23" s="37" t="s">
        <v>3</v>
      </c>
      <c r="G23" s="1"/>
    </row>
    <row r="24" spans="1:7" x14ac:dyDescent="0.25">
      <c r="A24" s="1"/>
      <c r="B24" s="43" t="s">
        <v>10</v>
      </c>
      <c r="C24" s="43"/>
      <c r="D24" s="43"/>
      <c r="E24" s="43"/>
      <c r="F24" s="43"/>
      <c r="G24" s="1"/>
    </row>
    <row r="25" spans="1:7" ht="15" customHeight="1" x14ac:dyDescent="0.25">
      <c r="A25" s="1"/>
      <c r="B25" s="37" t="s">
        <v>18</v>
      </c>
      <c r="C25" s="37"/>
      <c r="D25" s="37"/>
      <c r="E25" s="9">
        <f>'Fane 11. Hist. over-underdæk.'!G14</f>
        <v>-221112.37830687826</v>
      </c>
      <c r="F25" s="37" t="s">
        <v>3</v>
      </c>
      <c r="G25" s="1"/>
    </row>
    <row r="26" spans="1:7" ht="15" customHeight="1" x14ac:dyDescent="0.25">
      <c r="A26" s="1"/>
      <c r="B26" s="43" t="s">
        <v>147</v>
      </c>
      <c r="C26" s="43"/>
      <c r="D26" s="43"/>
      <c r="E26" s="43"/>
      <c r="F26" s="43"/>
      <c r="G26" s="1"/>
    </row>
    <row r="27" spans="1:7" x14ac:dyDescent="0.25">
      <c r="A27" s="1"/>
      <c r="B27" s="37" t="s">
        <v>148</v>
      </c>
      <c r="C27" s="37"/>
      <c r="D27" s="37"/>
      <c r="E27" s="9">
        <f>'Fane 6. Korrektioner'!E10</f>
        <v>0</v>
      </c>
      <c r="F27" s="37" t="s">
        <v>3</v>
      </c>
      <c r="G27" s="1"/>
    </row>
    <row r="28" spans="1:7" x14ac:dyDescent="0.25">
      <c r="A28" s="1"/>
      <c r="B28" s="43" t="s">
        <v>36</v>
      </c>
      <c r="C28" s="43"/>
      <c r="D28" s="43"/>
      <c r="E28" s="10">
        <f>SUM(E17,E19,E23,E25,E27)</f>
        <v>5465655.6304174531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JBpoLRqxJvTl5QK/4PzgCLmNRUszgGRLSuVZkblrMTQkmPGQvT583YZ7+5lc2c+k3i0UsiC00VgQAtfM2Wirxw==" saltValue="7JClrTyu26BdH4t2O7wdJ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73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19</v>
      </c>
      <c r="C8" s="43"/>
      <c r="D8" s="43"/>
      <c r="E8" s="43"/>
      <c r="F8" s="43"/>
      <c r="G8" s="1"/>
    </row>
    <row r="9" spans="1:7" ht="15" customHeight="1" x14ac:dyDescent="0.25">
      <c r="A9" s="1"/>
      <c r="B9" s="39" t="s">
        <v>37</v>
      </c>
      <c r="C9" s="39"/>
      <c r="D9" s="39"/>
      <c r="E9" s="7">
        <f>'Fane 2.1. Økonomisk ramme 2020'!E17</f>
        <v>4019091.4031207515</v>
      </c>
      <c r="F9" s="39" t="s">
        <v>3</v>
      </c>
      <c r="G9" s="1"/>
    </row>
    <row r="10" spans="1:7" ht="15" customHeight="1" x14ac:dyDescent="0.25">
      <c r="A10" s="1"/>
      <c r="B10" s="39" t="s">
        <v>162</v>
      </c>
      <c r="C10" s="39"/>
      <c r="D10" s="39"/>
      <c r="E10" s="7">
        <v>-121056.90621878592</v>
      </c>
      <c r="F10" s="39" t="s">
        <v>3</v>
      </c>
      <c r="G10" s="1"/>
    </row>
    <row r="11" spans="1:7" ht="15" customHeight="1" x14ac:dyDescent="0.25">
      <c r="A11" s="1"/>
      <c r="B11" s="31" t="s">
        <v>144</v>
      </c>
      <c r="C11" s="39"/>
      <c r="D11" s="39"/>
      <c r="E11" s="7">
        <f>-('Fane 10. Bortfald'!C18+'Fane 10. Bortfald'!E18)</f>
        <v>0</v>
      </c>
      <c r="F11" s="39" t="s">
        <v>3</v>
      </c>
      <c r="G11" s="1"/>
    </row>
    <row r="12" spans="1:7" ht="15" customHeight="1" x14ac:dyDescent="0.25">
      <c r="A12" s="1"/>
      <c r="B12" s="40" t="s">
        <v>26</v>
      </c>
      <c r="C12" s="39"/>
      <c r="D12" s="39"/>
      <c r="E12" s="8">
        <f>SUM(E9:E11)*'Fane 12. Nøgletal'!C12</f>
        <v>76791.279588968726</v>
      </c>
      <c r="F12" s="39" t="s">
        <v>3</v>
      </c>
      <c r="G12" s="1"/>
    </row>
    <row r="13" spans="1:7" ht="15" customHeight="1" x14ac:dyDescent="0.25">
      <c r="A13" s="1"/>
      <c r="B13" s="40" t="s">
        <v>115</v>
      </c>
      <c r="C13" s="39"/>
      <c r="D13" s="39"/>
      <c r="E13" s="8">
        <f>-SUM(E9:E12)*'Fane 12. Nøgletal'!C17</f>
        <v>-67572.03820034588</v>
      </c>
      <c r="F13" s="39" t="s">
        <v>3</v>
      </c>
      <c r="G13" s="1"/>
    </row>
    <row r="14" spans="1:7" ht="15" customHeight="1" x14ac:dyDescent="0.25">
      <c r="A14" s="1"/>
      <c r="B14" s="42" t="s">
        <v>28</v>
      </c>
      <c r="C14" s="42"/>
      <c r="D14" s="42"/>
      <c r="E14" s="9">
        <f>SUM(E9:E13)</f>
        <v>3907253.7382905884</v>
      </c>
      <c r="F14" s="37" t="s">
        <v>3</v>
      </c>
      <c r="G14" s="1"/>
    </row>
    <row r="15" spans="1:7" x14ac:dyDescent="0.25">
      <c r="A15" s="1"/>
      <c r="B15" s="43" t="s">
        <v>16</v>
      </c>
      <c r="C15" s="43"/>
      <c r="D15" s="43"/>
      <c r="E15" s="43"/>
      <c r="F15" s="43"/>
      <c r="G15" s="1"/>
    </row>
    <row r="16" spans="1:7" ht="15" customHeight="1" x14ac:dyDescent="0.25">
      <c r="A16" s="1"/>
      <c r="B16" s="37" t="s">
        <v>16</v>
      </c>
      <c r="C16" s="37"/>
      <c r="D16" s="37"/>
      <c r="E16" s="9">
        <f>'Fane 4. Ikke-påvirkelige omk.'!C15*(1+'Fane 12. Nøgletal'!C12)</f>
        <v>1700529.8347339707</v>
      </c>
      <c r="F16" s="37" t="s">
        <v>3</v>
      </c>
      <c r="G16" s="1"/>
    </row>
    <row r="17" spans="1:7" ht="15" customHeight="1" x14ac:dyDescent="0.25">
      <c r="A17" s="1"/>
      <c r="B17" s="43" t="s">
        <v>84</v>
      </c>
      <c r="C17" s="43"/>
      <c r="D17" s="43"/>
      <c r="E17" s="43"/>
      <c r="F17" s="43"/>
      <c r="G17" s="1"/>
    </row>
    <row r="18" spans="1:7" ht="15" customHeight="1" x14ac:dyDescent="0.25">
      <c r="A18" s="1"/>
      <c r="B18" s="31" t="s">
        <v>80</v>
      </c>
      <c r="C18" s="39"/>
      <c r="D18" s="39"/>
      <c r="E18" s="8">
        <f>'Fane 8.2. Engangstillæg'!C20</f>
        <v>0</v>
      </c>
      <c r="F18" s="39" t="s">
        <v>3</v>
      </c>
      <c r="G18" s="1"/>
    </row>
    <row r="19" spans="1:7" ht="15" customHeight="1" x14ac:dyDescent="0.25">
      <c r="A19" s="1"/>
      <c r="B19" s="31" t="s">
        <v>81</v>
      </c>
      <c r="C19" s="39"/>
      <c r="D19" s="39"/>
      <c r="E19" s="8">
        <f>'Fane 8.2. Engangstillæg'!E20</f>
        <v>0</v>
      </c>
      <c r="F19" s="39" t="s">
        <v>3</v>
      </c>
      <c r="G19" s="1"/>
    </row>
    <row r="20" spans="1:7" ht="15" customHeight="1" x14ac:dyDescent="0.25">
      <c r="A20" s="1"/>
      <c r="B20" s="44" t="s">
        <v>85</v>
      </c>
      <c r="C20" s="42"/>
      <c r="D20" s="42"/>
      <c r="E20" s="9">
        <f>SUM(E18:E19)</f>
        <v>0</v>
      </c>
      <c r="F20" s="37" t="s">
        <v>3</v>
      </c>
      <c r="G20" s="1"/>
    </row>
    <row r="21" spans="1:7" x14ac:dyDescent="0.25">
      <c r="A21" s="1"/>
      <c r="B21" s="43" t="s">
        <v>95</v>
      </c>
      <c r="C21" s="43"/>
      <c r="D21" s="43"/>
      <c r="E21" s="43"/>
      <c r="F21" s="43"/>
      <c r="G21" s="1"/>
    </row>
    <row r="22" spans="1:7" ht="15" customHeight="1" x14ac:dyDescent="0.25">
      <c r="A22" s="1"/>
      <c r="B22" s="37" t="s">
        <v>131</v>
      </c>
      <c r="C22" s="37"/>
      <c r="D22" s="37"/>
      <c r="E22" s="9">
        <f>'Fane 5. Kontrol af ØR2018'!E35</f>
        <v>-522806.23286340875</v>
      </c>
      <c r="F22" s="37" t="s">
        <v>3</v>
      </c>
      <c r="G22" s="1"/>
    </row>
    <row r="23" spans="1:7" x14ac:dyDescent="0.25">
      <c r="A23" s="1"/>
      <c r="B23" s="43" t="s">
        <v>39</v>
      </c>
      <c r="C23" s="43"/>
      <c r="D23" s="43"/>
      <c r="E23" s="10">
        <f>SUM(E14,E16,E20,E22)</f>
        <v>5084977.3401611503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GzlQ77VyiMCPURF4v8ex3XO3mqQkhjDRbbHpph5HFPU0zAjouxrFSa3FqdqjeIiCIBhRPd5b70yriUInUeCYkA==" saltValue="qoN8/Lirc1/LhacCot2fh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146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3" t="s">
        <v>19</v>
      </c>
      <c r="C7" s="43"/>
      <c r="D7" s="43"/>
      <c r="E7" s="43"/>
      <c r="F7" s="43"/>
      <c r="G7" s="1"/>
    </row>
    <row r="8" spans="1:7" ht="15" customHeight="1" x14ac:dyDescent="0.25">
      <c r="A8" s="1"/>
      <c r="B8" s="39" t="s">
        <v>37</v>
      </c>
      <c r="C8" s="39"/>
      <c r="D8" s="39"/>
      <c r="E8" s="7">
        <f>'Fane 2.2. Økonomisk ramme 2021'!E14</f>
        <v>3907253.7382905884</v>
      </c>
      <c r="F8" s="39" t="s">
        <v>3</v>
      </c>
      <c r="G8" s="1"/>
    </row>
    <row r="9" spans="1:7" ht="15" customHeight="1" x14ac:dyDescent="0.25">
      <c r="A9" s="1"/>
      <c r="B9" s="39" t="s">
        <v>144</v>
      </c>
      <c r="C9" s="39"/>
      <c r="D9" s="39"/>
      <c r="E9" s="7">
        <f>-('Fane 10. Bortfald'!C24+'Fane 10. Bortfald'!E24)</f>
        <v>0</v>
      </c>
      <c r="F9" s="39" t="s">
        <v>3</v>
      </c>
      <c r="G9" s="1"/>
    </row>
    <row r="10" spans="1:7" ht="15" customHeight="1" x14ac:dyDescent="0.25">
      <c r="A10" s="1"/>
      <c r="B10" s="40" t="s">
        <v>26</v>
      </c>
      <c r="C10" s="39"/>
      <c r="D10" s="39"/>
      <c r="E10" s="8">
        <f>SUM(E8:E9)*'Fane 12. Nøgletal'!C12</f>
        <v>76972.898644324581</v>
      </c>
      <c r="F10" s="39" t="s">
        <v>3</v>
      </c>
      <c r="G10" s="1"/>
    </row>
    <row r="11" spans="1:7" ht="15" customHeight="1" x14ac:dyDescent="0.25">
      <c r="A11" s="1"/>
      <c r="B11" s="40" t="s">
        <v>115</v>
      </c>
      <c r="C11" s="39"/>
      <c r="D11" s="39"/>
      <c r="E11" s="8">
        <f>-SUM(E8:E10)*'Fane 12. Nøgletal'!C17</f>
        <v>-67731.852827893526</v>
      </c>
      <c r="F11" s="39" t="s">
        <v>3</v>
      </c>
      <c r="G11" s="1"/>
    </row>
    <row r="12" spans="1:7" x14ac:dyDescent="0.25">
      <c r="A12" s="1"/>
      <c r="B12" s="42" t="s">
        <v>28</v>
      </c>
      <c r="C12" s="42"/>
      <c r="D12" s="42"/>
      <c r="E12" s="9">
        <f>SUM(E8:E11)</f>
        <v>3916494.7841070192</v>
      </c>
      <c r="F12" s="37" t="s">
        <v>3</v>
      </c>
      <c r="G12" s="1"/>
    </row>
    <row r="13" spans="1:7" x14ac:dyDescent="0.25">
      <c r="A13" s="1"/>
      <c r="B13" s="43" t="s">
        <v>16</v>
      </c>
      <c r="C13" s="43"/>
      <c r="D13" s="43"/>
      <c r="E13" s="43"/>
      <c r="F13" s="43"/>
      <c r="G13" s="1"/>
    </row>
    <row r="14" spans="1:7" ht="15" customHeight="1" x14ac:dyDescent="0.25">
      <c r="A14" s="1"/>
      <c r="B14" s="37" t="s">
        <v>16</v>
      </c>
      <c r="C14" s="37"/>
      <c r="D14" s="37"/>
      <c r="E14" s="9">
        <f>'Fane 4. Ikke-påvirkelige omk.'!C15*(1+'Fane 12. Nøgletal'!C12)^2</f>
        <v>1734030.2724782301</v>
      </c>
      <c r="F14" s="37" t="s">
        <v>3</v>
      </c>
      <c r="G14" s="1"/>
    </row>
    <row r="15" spans="1:7" ht="15" customHeight="1" x14ac:dyDescent="0.25">
      <c r="A15" s="1"/>
      <c r="B15" s="43" t="s">
        <v>84</v>
      </c>
      <c r="C15" s="43"/>
      <c r="D15" s="43"/>
      <c r="E15" s="43"/>
      <c r="F15" s="43"/>
      <c r="G15" s="1"/>
    </row>
    <row r="16" spans="1:7" ht="15" customHeight="1" x14ac:dyDescent="0.25">
      <c r="A16" s="1"/>
      <c r="B16" s="31" t="s">
        <v>80</v>
      </c>
      <c r="C16" s="39"/>
      <c r="D16" s="39"/>
      <c r="E16" s="8">
        <f>'Fane 8.2. Engangstillæg'!C27</f>
        <v>0</v>
      </c>
      <c r="F16" s="39" t="s">
        <v>3</v>
      </c>
      <c r="G16" s="1"/>
    </row>
    <row r="17" spans="1:7" ht="15" customHeight="1" x14ac:dyDescent="0.25">
      <c r="A17" s="1"/>
      <c r="B17" s="31" t="s">
        <v>81</v>
      </c>
      <c r="C17" s="39"/>
      <c r="D17" s="39"/>
      <c r="E17" s="8">
        <f>'Fane 8.2. Engangstillæg'!E27</f>
        <v>0</v>
      </c>
      <c r="F17" s="39" t="s">
        <v>3</v>
      </c>
      <c r="G17" s="1"/>
    </row>
    <row r="18" spans="1:7" ht="15" customHeight="1" x14ac:dyDescent="0.25">
      <c r="A18" s="1"/>
      <c r="B18" s="44" t="s">
        <v>85</v>
      </c>
      <c r="C18" s="42"/>
      <c r="D18" s="42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43" t="s">
        <v>95</v>
      </c>
      <c r="C19" s="43"/>
      <c r="D19" s="43"/>
      <c r="E19" s="43"/>
      <c r="F19" s="43"/>
      <c r="G19" s="1"/>
    </row>
    <row r="20" spans="1:7" ht="15" customHeight="1" x14ac:dyDescent="0.25">
      <c r="A20" s="1"/>
      <c r="B20" s="37" t="s">
        <v>131</v>
      </c>
      <c r="C20" s="37"/>
      <c r="D20" s="37"/>
      <c r="E20" s="9">
        <f>'Fane 2.2. Økonomisk ramme 2021'!E22</f>
        <v>-522806.23286340875</v>
      </c>
      <c r="F20" s="37" t="s">
        <v>3</v>
      </c>
      <c r="G20" s="1"/>
    </row>
    <row r="21" spans="1:7" x14ac:dyDescent="0.25">
      <c r="A21" s="1"/>
      <c r="B21" s="43" t="s">
        <v>40</v>
      </c>
      <c r="C21" s="43"/>
      <c r="D21" s="43"/>
      <c r="E21" s="10">
        <f>SUM(E12,E14,E18,E20)</f>
        <v>5127718.823721841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jKXWgjiDpHwvbttuQFhrRCa2wfghC8VoI3GiNMM7yokxJMEnLQA/k+HvbNL9dM05I4t0jS0T0Hps7nSig/Q/A==" saltValue="0gUHE9c34n9S/Ak6mBBKi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145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3" t="s">
        <v>19</v>
      </c>
      <c r="C7" s="43"/>
      <c r="D7" s="43"/>
      <c r="E7" s="43"/>
      <c r="F7" s="43"/>
      <c r="G7" s="1"/>
    </row>
    <row r="8" spans="1:7" ht="15" customHeight="1" x14ac:dyDescent="0.25">
      <c r="A8" s="1"/>
      <c r="B8" s="39" t="s">
        <v>38</v>
      </c>
      <c r="C8" s="39"/>
      <c r="D8" s="39"/>
      <c r="E8" s="7">
        <f>'Fane 2.3. Økonomisk ramme 2022'!E12</f>
        <v>3916494.7841070192</v>
      </c>
      <c r="F8" s="39" t="s">
        <v>3</v>
      </c>
      <c r="G8" s="1"/>
    </row>
    <row r="9" spans="1:7" ht="15" customHeight="1" x14ac:dyDescent="0.25">
      <c r="A9" s="1"/>
      <c r="B9" s="39" t="s">
        <v>144</v>
      </c>
      <c r="C9" s="39"/>
      <c r="D9" s="39"/>
      <c r="E9" s="7">
        <f>-('Fane 10. Bortfald'!C30+'Fane 10. Bortfald'!E30)</f>
        <v>0</v>
      </c>
      <c r="F9" s="39" t="s">
        <v>3</v>
      </c>
      <c r="G9" s="1"/>
    </row>
    <row r="10" spans="1:7" ht="15" customHeight="1" x14ac:dyDescent="0.25">
      <c r="A10" s="1"/>
      <c r="B10" s="40" t="s">
        <v>26</v>
      </c>
      <c r="C10" s="39"/>
      <c r="D10" s="39"/>
      <c r="E10" s="8">
        <f>E8*'Fane 12. Nøgletal'!C12</f>
        <v>77154.947246908268</v>
      </c>
      <c r="F10" s="39" t="s">
        <v>3</v>
      </c>
      <c r="G10" s="1"/>
    </row>
    <row r="11" spans="1:7" ht="15" customHeight="1" x14ac:dyDescent="0.25">
      <c r="A11" s="1"/>
      <c r="B11" s="40" t="s">
        <v>115</v>
      </c>
      <c r="C11" s="39"/>
      <c r="D11" s="39"/>
      <c r="E11" s="8">
        <f>-SUM(E8:E10)*'Fane 12. Nøgletal'!C17</f>
        <v>-67892.04543301677</v>
      </c>
      <c r="F11" s="39" t="s">
        <v>3</v>
      </c>
      <c r="G11" s="1"/>
    </row>
    <row r="12" spans="1:7" x14ac:dyDescent="0.25">
      <c r="A12" s="1"/>
      <c r="B12" s="42" t="s">
        <v>28</v>
      </c>
      <c r="C12" s="42"/>
      <c r="D12" s="42"/>
      <c r="E12" s="9">
        <f>SUM(E8:E11)</f>
        <v>3925757.6859209104</v>
      </c>
      <c r="F12" s="37" t="s">
        <v>3</v>
      </c>
      <c r="G12" s="1"/>
    </row>
    <row r="13" spans="1:7" x14ac:dyDescent="0.25">
      <c r="A13" s="1"/>
      <c r="B13" s="43" t="s">
        <v>16</v>
      </c>
      <c r="C13" s="43"/>
      <c r="D13" s="43"/>
      <c r="E13" s="43"/>
      <c r="F13" s="43"/>
      <c r="G13" s="1"/>
    </row>
    <row r="14" spans="1:7" ht="15" customHeight="1" x14ac:dyDescent="0.25">
      <c r="A14" s="1"/>
      <c r="B14" s="37" t="s">
        <v>16</v>
      </c>
      <c r="C14" s="37"/>
      <c r="D14" s="37"/>
      <c r="E14" s="9">
        <f>'Fane 4. Ikke-påvirkelige omk.'!C15*(1+'Fane 12. Nøgletal'!C12)^3</f>
        <v>1768190.668846051</v>
      </c>
      <c r="F14" s="37" t="s">
        <v>3</v>
      </c>
      <c r="G14" s="1"/>
    </row>
    <row r="15" spans="1:7" ht="15" customHeight="1" x14ac:dyDescent="0.25">
      <c r="A15" s="1"/>
      <c r="B15" s="43" t="s">
        <v>84</v>
      </c>
      <c r="C15" s="43"/>
      <c r="D15" s="43"/>
      <c r="E15" s="43"/>
      <c r="F15" s="43"/>
      <c r="G15" s="1"/>
    </row>
    <row r="16" spans="1:7" ht="15" customHeight="1" x14ac:dyDescent="0.25">
      <c r="A16" s="1"/>
      <c r="B16" s="31" t="s">
        <v>80</v>
      </c>
      <c r="C16" s="39"/>
      <c r="D16" s="39"/>
      <c r="E16" s="8">
        <f>'Fane 8.2. Engangstillæg'!C34</f>
        <v>0</v>
      </c>
      <c r="F16" s="39" t="s">
        <v>3</v>
      </c>
      <c r="G16" s="1"/>
    </row>
    <row r="17" spans="1:7" ht="15" customHeight="1" x14ac:dyDescent="0.25">
      <c r="A17" s="1"/>
      <c r="B17" s="31" t="s">
        <v>81</v>
      </c>
      <c r="C17" s="39"/>
      <c r="D17" s="39"/>
      <c r="E17" s="8">
        <f>'Fane 8.2. Engangstillæg'!E34</f>
        <v>0</v>
      </c>
      <c r="F17" s="39" t="s">
        <v>3</v>
      </c>
      <c r="G17" s="1"/>
    </row>
    <row r="18" spans="1:7" ht="15" customHeight="1" x14ac:dyDescent="0.25">
      <c r="A18" s="1"/>
      <c r="B18" s="44" t="s">
        <v>85</v>
      </c>
      <c r="C18" s="42"/>
      <c r="D18" s="42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43" t="s">
        <v>95</v>
      </c>
      <c r="C19" s="43"/>
      <c r="D19" s="43"/>
      <c r="E19" s="43"/>
      <c r="F19" s="43"/>
      <c r="G19" s="1"/>
    </row>
    <row r="20" spans="1:7" ht="15" customHeight="1" x14ac:dyDescent="0.25">
      <c r="A20" s="1"/>
      <c r="B20" s="37" t="s">
        <v>131</v>
      </c>
      <c r="C20" s="37"/>
      <c r="D20" s="37"/>
      <c r="E20" s="9">
        <f>'Fane 2.3. Økonomisk ramme 2022'!E20</f>
        <v>-522806.23286340875</v>
      </c>
      <c r="F20" s="37" t="s">
        <v>3</v>
      </c>
      <c r="G20" s="1"/>
    </row>
    <row r="21" spans="1:7" x14ac:dyDescent="0.25">
      <c r="A21" s="1"/>
      <c r="B21" s="43" t="s">
        <v>89</v>
      </c>
      <c r="C21" s="43"/>
      <c r="D21" s="43"/>
      <c r="E21" s="10">
        <f>SUM(E12,E14,E18,E20)</f>
        <v>5171142.1219035527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9AU9HWyPwBOMAmBQh+YC2uJs1QOQLeH6oCDjWcWVVZQLUDCWqaeEAXv7DooBnIfpkbkmAdxHloME+P89O3oJQQ==" saltValue="vT8mcgP1PZ1L6gn8opVpN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138</v>
      </c>
      <c r="C3" s="72"/>
      <c r="D3" s="72"/>
      <c r="E3" s="72"/>
      <c r="F3" s="72"/>
      <c r="G3" s="1"/>
    </row>
    <row r="4" spans="1:7" ht="29.2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72</v>
      </c>
      <c r="C8" s="43"/>
      <c r="D8" s="43"/>
      <c r="E8" s="43"/>
      <c r="F8" s="43"/>
      <c r="G8" s="1"/>
    </row>
    <row r="9" spans="1:7" x14ac:dyDescent="0.25">
      <c r="A9" s="1"/>
      <c r="B9" s="73" t="s">
        <v>70</v>
      </c>
      <c r="C9" s="73"/>
      <c r="D9" s="73"/>
      <c r="E9" s="7">
        <v>3357393.7420775769</v>
      </c>
      <c r="F9" s="39" t="s">
        <v>3</v>
      </c>
      <c r="G9" s="1"/>
    </row>
    <row r="10" spans="1:7" x14ac:dyDescent="0.25">
      <c r="A10" s="1"/>
      <c r="B10" s="75" t="s">
        <v>140</v>
      </c>
      <c r="C10" s="75"/>
      <c r="D10" s="75"/>
      <c r="E10" s="7">
        <v>0</v>
      </c>
      <c r="F10" s="39" t="s">
        <v>3</v>
      </c>
      <c r="G10" s="1"/>
    </row>
    <row r="11" spans="1:7" x14ac:dyDescent="0.25">
      <c r="A11" s="1"/>
      <c r="B11" s="74" t="s">
        <v>141</v>
      </c>
      <c r="C11" s="74"/>
      <c r="D11" s="74"/>
      <c r="E11" s="7">
        <v>687644.32649999997</v>
      </c>
      <c r="F11" s="39" t="s">
        <v>3</v>
      </c>
      <c r="G11" s="1"/>
    </row>
    <row r="12" spans="1:7" x14ac:dyDescent="0.25">
      <c r="A12" s="1"/>
      <c r="B12" s="74" t="s">
        <v>142</v>
      </c>
      <c r="C12" s="74"/>
      <c r="D12" s="74"/>
      <c r="E12" s="8">
        <v>0</v>
      </c>
      <c r="F12" s="39" t="s">
        <v>3</v>
      </c>
      <c r="G12" s="1"/>
    </row>
    <row r="13" spans="1:7" x14ac:dyDescent="0.25">
      <c r="A13" s="1"/>
      <c r="B13" s="74" t="s">
        <v>26</v>
      </c>
      <c r="C13" s="74"/>
      <c r="D13" s="74"/>
      <c r="E13" s="8">
        <f>(SUM(E9:E9)-SUM(E10:E10))*'Fane 12. Nøgletal'!C9+SUM(E10:E10)*'Fane 12. Nøgletal'!C10+SUM(E11:E12)*'Fane 12. Nøgletal'!C11</f>
        <v>54260.089642235223</v>
      </c>
      <c r="F13" s="39" t="s">
        <v>3</v>
      </c>
      <c r="G13" s="1"/>
    </row>
    <row r="14" spans="1:7" x14ac:dyDescent="0.25">
      <c r="A14" s="1"/>
      <c r="B14" s="74" t="s">
        <v>115</v>
      </c>
      <c r="C14" s="74"/>
      <c r="D14" s="74"/>
      <c r="E14" s="8">
        <f>-SUM(E9:E9,E11:E13)*'Fane 12. Nøgletal'!C17</f>
        <v>-69688.068689736814</v>
      </c>
      <c r="F14" s="39" t="s">
        <v>3</v>
      </c>
      <c r="G14" s="1"/>
    </row>
    <row r="15" spans="1:7" x14ac:dyDescent="0.25">
      <c r="A15" s="1"/>
      <c r="B15" s="76" t="s">
        <v>28</v>
      </c>
      <c r="C15" s="76"/>
      <c r="D15" s="76"/>
      <c r="E15" s="9">
        <f>SUM(E9,E11:E14)</f>
        <v>4029610.089530075</v>
      </c>
      <c r="F15" s="37" t="s">
        <v>3</v>
      </c>
      <c r="G15" s="1"/>
    </row>
    <row r="16" spans="1:7" x14ac:dyDescent="0.25">
      <c r="A16" s="1"/>
      <c r="B16" s="77" t="s">
        <v>16</v>
      </c>
      <c r="C16" s="77"/>
      <c r="D16" s="77"/>
      <c r="E16" s="43"/>
      <c r="F16" s="43"/>
      <c r="G16" s="1"/>
    </row>
    <row r="17" spans="1:7" x14ac:dyDescent="0.25">
      <c r="A17" s="1"/>
      <c r="B17" s="71" t="s">
        <v>16</v>
      </c>
      <c r="C17" s="71"/>
      <c r="D17" s="71"/>
      <c r="E17" s="9">
        <v>1773563.3319678295</v>
      </c>
      <c r="F17" s="37" t="s">
        <v>3</v>
      </c>
      <c r="G17" s="1"/>
    </row>
    <row r="18" spans="1:7" x14ac:dyDescent="0.25">
      <c r="A18" s="1"/>
      <c r="B18" s="43" t="s">
        <v>71</v>
      </c>
      <c r="C18" s="43"/>
      <c r="D18" s="43"/>
      <c r="E18" s="43"/>
      <c r="F18" s="43"/>
      <c r="G18" s="1"/>
    </row>
    <row r="19" spans="1:7" ht="27" customHeight="1" x14ac:dyDescent="0.25">
      <c r="A19" s="1"/>
      <c r="B19" s="70" t="s">
        <v>74</v>
      </c>
      <c r="C19" s="70"/>
      <c r="D19" s="70"/>
      <c r="E19" s="9">
        <v>7396.8291745327488</v>
      </c>
      <c r="F19" s="37" t="s">
        <v>3</v>
      </c>
      <c r="G19" s="1"/>
    </row>
    <row r="20" spans="1:7" x14ac:dyDescent="0.25">
      <c r="A20" s="1"/>
      <c r="B20" s="43" t="s">
        <v>10</v>
      </c>
      <c r="C20" s="43"/>
      <c r="D20" s="43"/>
      <c r="E20" s="43"/>
      <c r="F20" s="43"/>
      <c r="G20" s="1"/>
    </row>
    <row r="21" spans="1:7" x14ac:dyDescent="0.25">
      <c r="A21" s="1"/>
      <c r="B21" s="71" t="s">
        <v>18</v>
      </c>
      <c r="C21" s="71"/>
      <c r="D21" s="71"/>
      <c r="E21" s="9">
        <v>-221113</v>
      </c>
      <c r="F21" s="37" t="s">
        <v>3</v>
      </c>
      <c r="G21" s="1"/>
    </row>
    <row r="22" spans="1:7" x14ac:dyDescent="0.25">
      <c r="A22" s="1"/>
      <c r="B22" s="43" t="s">
        <v>23</v>
      </c>
      <c r="C22" s="43"/>
      <c r="D22" s="43"/>
      <c r="E22" s="10">
        <f>SUM(E21,E19,E17,E15)</f>
        <v>5589457.2506724373</v>
      </c>
      <c r="F22" s="11" t="s">
        <v>3</v>
      </c>
      <c r="G22" s="1"/>
    </row>
    <row r="23" spans="1:7" ht="28.5" customHeight="1" x14ac:dyDescent="0.25">
      <c r="A23" s="1"/>
      <c r="B23" s="69" t="s">
        <v>118</v>
      </c>
      <c r="C23" s="69"/>
      <c r="D23" s="69"/>
      <c r="E23" s="69"/>
      <c r="F23" s="69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1OV+VCfKvp8lAzgstlovN71bKQoq27ZI748GVgXBsrjvpXZoRbpRUK6hwEH+UPIeOHRTmLOU5r/sk3Y1FrRDqw==" saltValue="DWGJRuTJul/7t84S2QGr+w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7" t="s">
        <v>110</v>
      </c>
      <c r="C3" s="67"/>
      <c r="D3" s="67"/>
      <c r="E3" s="1"/>
      <c r="F3" s="1"/>
    </row>
    <row r="4" spans="1:6" ht="15" customHeight="1" x14ac:dyDescent="0.25">
      <c r="A4" s="1"/>
      <c r="B4" s="67"/>
      <c r="C4" s="67"/>
      <c r="D4" s="67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8" t="s">
        <v>58</v>
      </c>
      <c r="C8" s="79"/>
      <c r="D8" s="80"/>
      <c r="E8" s="1"/>
      <c r="F8" s="1"/>
    </row>
    <row r="9" spans="1:6" ht="15" customHeight="1" x14ac:dyDescent="0.25">
      <c r="A9" s="1"/>
      <c r="B9" s="19" t="s">
        <v>43</v>
      </c>
      <c r="C9" s="37" t="s">
        <v>59</v>
      </c>
      <c r="D9" s="37"/>
      <c r="E9" s="1"/>
      <c r="F9" s="1"/>
    </row>
    <row r="10" spans="1:6" x14ac:dyDescent="0.25">
      <c r="A10" s="1"/>
      <c r="B10" s="30" t="s">
        <v>156</v>
      </c>
      <c r="C10" s="8">
        <v>1389292</v>
      </c>
      <c r="D10" s="12" t="s">
        <v>3</v>
      </c>
      <c r="E10" s="1"/>
      <c r="F10" s="1"/>
    </row>
    <row r="11" spans="1:6" x14ac:dyDescent="0.25">
      <c r="A11" s="1"/>
      <c r="B11" s="30" t="s">
        <v>165</v>
      </c>
      <c r="C11" s="8">
        <v>198533</v>
      </c>
      <c r="D11" s="12" t="s">
        <v>3</v>
      </c>
      <c r="E11" s="1"/>
      <c r="F11" s="1"/>
    </row>
    <row r="12" spans="1:6" x14ac:dyDescent="0.25">
      <c r="A12" s="1"/>
      <c r="B12" s="30" t="s">
        <v>157</v>
      </c>
      <c r="C12" s="8">
        <v>2837</v>
      </c>
      <c r="D12" s="12" t="s">
        <v>3</v>
      </c>
      <c r="E12" s="1"/>
      <c r="F12" s="1"/>
    </row>
    <row r="13" spans="1:6" x14ac:dyDescent="0.25">
      <c r="A13" s="1"/>
      <c r="B13" s="30" t="s">
        <v>158</v>
      </c>
      <c r="C13" s="8">
        <v>13200</v>
      </c>
      <c r="D13" s="12" t="s">
        <v>3</v>
      </c>
      <c r="E13" s="1"/>
      <c r="F13" s="1"/>
    </row>
    <row r="14" spans="1:6" x14ac:dyDescent="0.25">
      <c r="A14" s="1"/>
      <c r="B14" s="47" t="s">
        <v>60</v>
      </c>
      <c r="C14" s="10">
        <f>SUM(C10:C13)</f>
        <v>1603862</v>
      </c>
      <c r="D14" s="11" t="s">
        <v>3</v>
      </c>
      <c r="E14" s="1"/>
      <c r="F14" s="1"/>
    </row>
    <row r="15" spans="1:6" x14ac:dyDescent="0.25">
      <c r="A15" s="1"/>
      <c r="B15" s="47" t="s">
        <v>61</v>
      </c>
      <c r="C15" s="10">
        <f>C14*(1+'Fane 12. Nøgletal'!C12)^2</f>
        <v>1667676.6056035801</v>
      </c>
      <c r="D15" s="11" t="s">
        <v>3</v>
      </c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4"/>
      <c r="C17" s="13"/>
      <c r="D17" s="13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nSkgvkSceNPrWxe3BjPD2id8U+0qG1t/esbLzgCDZV+HuaQxe0S0UYbrq2pF/tc3Ma2PYuWuvoRLS0d+GjSWSA==" saltValue="ku3klWRYVTJbtkNdor+Ew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2" t="s">
        <v>119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ht="15" customHeight="1" x14ac:dyDescent="0.25">
      <c r="A5" s="1"/>
      <c r="B5" s="38"/>
      <c r="C5" s="38"/>
      <c r="D5" s="38"/>
      <c r="E5" s="38"/>
      <c r="F5" s="38"/>
      <c r="G5" s="1"/>
    </row>
    <row r="6" spans="1:7" ht="15" customHeight="1" x14ac:dyDescent="0.25">
      <c r="A6" s="1"/>
      <c r="B6" s="81" t="s">
        <v>47</v>
      </c>
      <c r="C6" s="81"/>
      <c r="D6" s="81"/>
      <c r="E6" s="81"/>
      <c r="F6" s="81"/>
      <c r="G6" s="1"/>
    </row>
    <row r="7" spans="1:7" ht="15" customHeight="1" x14ac:dyDescent="0.25">
      <c r="A7" s="1"/>
      <c r="B7" s="82" t="s">
        <v>45</v>
      </c>
      <c r="C7" s="82"/>
      <c r="D7" s="82"/>
      <c r="E7" s="8">
        <v>-543056.35166666668</v>
      </c>
      <c r="F7" s="12" t="s">
        <v>3</v>
      </c>
      <c r="G7" s="1"/>
    </row>
    <row r="8" spans="1:7" ht="15" customHeight="1" x14ac:dyDescent="0.25">
      <c r="A8" s="1"/>
      <c r="B8" s="82" t="s">
        <v>46</v>
      </c>
      <c r="C8" s="82"/>
      <c r="D8" s="82"/>
      <c r="E8" s="8">
        <v>31484.275235454552</v>
      </c>
      <c r="F8" s="12" t="s">
        <v>3</v>
      </c>
      <c r="G8" s="1"/>
    </row>
    <row r="9" spans="1:7" ht="15" customHeight="1" x14ac:dyDescent="0.25">
      <c r="A9" s="1"/>
      <c r="B9" s="84" t="s">
        <v>129</v>
      </c>
      <c r="C9" s="85"/>
      <c r="D9" s="86"/>
      <c r="E9" s="9">
        <f>SUM(E7:E8)</f>
        <v>-511572.07643121213</v>
      </c>
      <c r="F9" s="15" t="s">
        <v>3</v>
      </c>
      <c r="G9" s="1"/>
    </row>
    <row r="10" spans="1:7" ht="15" customHeight="1" x14ac:dyDescent="0.25">
      <c r="A10" s="1"/>
      <c r="B10" s="78"/>
      <c r="C10" s="79"/>
      <c r="D10" s="79"/>
      <c r="E10" s="79"/>
      <c r="F10" s="80"/>
      <c r="G10" s="1"/>
    </row>
    <row r="11" spans="1:7" ht="27" customHeight="1" x14ac:dyDescent="0.25">
      <c r="A11" s="1"/>
      <c r="B11" s="69" t="s">
        <v>113</v>
      </c>
      <c r="C11" s="69"/>
      <c r="D11" s="69"/>
      <c r="E11" s="69"/>
      <c r="F11" s="69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1" t="s">
        <v>99</v>
      </c>
      <c r="C14" s="81"/>
      <c r="D14" s="81"/>
      <c r="E14" s="81"/>
      <c r="F14" s="81"/>
      <c r="G14" s="1"/>
    </row>
    <row r="15" spans="1:7" x14ac:dyDescent="0.25">
      <c r="A15" s="1"/>
      <c r="B15" s="82" t="s">
        <v>100</v>
      </c>
      <c r="C15" s="82"/>
      <c r="D15" s="82"/>
      <c r="E15" s="8">
        <v>3748372.6430000002</v>
      </c>
      <c r="F15" s="12" t="s">
        <v>3</v>
      </c>
      <c r="G15" s="1"/>
    </row>
    <row r="16" spans="1:7" x14ac:dyDescent="0.25">
      <c r="A16" s="1"/>
      <c r="B16" s="82" t="s">
        <v>101</v>
      </c>
      <c r="C16" s="82"/>
      <c r="D16" s="82"/>
      <c r="E16" s="8">
        <v>4824120</v>
      </c>
      <c r="F16" s="12" t="s">
        <v>3</v>
      </c>
      <c r="G16" s="1"/>
    </row>
    <row r="17" spans="1:7" x14ac:dyDescent="0.25">
      <c r="A17" s="1"/>
      <c r="B17" s="82" t="s">
        <v>44</v>
      </c>
      <c r="C17" s="82"/>
      <c r="D17" s="82"/>
      <c r="E17" s="8">
        <v>0</v>
      </c>
      <c r="F17" s="12" t="s">
        <v>3</v>
      </c>
      <c r="G17" s="1"/>
    </row>
    <row r="18" spans="1:7" x14ac:dyDescent="0.25">
      <c r="A18" s="1"/>
      <c r="B18" s="83" t="s">
        <v>130</v>
      </c>
      <c r="C18" s="83"/>
      <c r="D18" s="83"/>
      <c r="E18" s="9">
        <f>E15-(E16-E17)</f>
        <v>-1075747.3569999998</v>
      </c>
      <c r="F18" s="15" t="s">
        <v>3</v>
      </c>
      <c r="G18" s="1"/>
    </row>
    <row r="19" spans="1:7" x14ac:dyDescent="0.25">
      <c r="A19" s="1"/>
      <c r="B19" s="87"/>
      <c r="C19" s="88"/>
      <c r="D19" s="88"/>
      <c r="E19" s="88"/>
      <c r="F19" s="89"/>
      <c r="G19" s="1"/>
    </row>
    <row r="20" spans="1:7" ht="28.5" customHeight="1" x14ac:dyDescent="0.25">
      <c r="A20" s="1"/>
      <c r="B20" s="69" t="s">
        <v>112</v>
      </c>
      <c r="C20" s="69"/>
      <c r="D20" s="69"/>
      <c r="E20" s="69"/>
      <c r="F20" s="69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1" t="s">
        <v>66</v>
      </c>
      <c r="C23" s="81"/>
      <c r="D23" s="81"/>
      <c r="E23" s="81"/>
      <c r="F23" s="81"/>
      <c r="G23" s="1"/>
    </row>
    <row r="24" spans="1:7" x14ac:dyDescent="0.25">
      <c r="A24" s="1"/>
      <c r="B24" s="82" t="s">
        <v>67</v>
      </c>
      <c r="C24" s="82"/>
      <c r="D24" s="82"/>
      <c r="E24" s="8">
        <v>4430872.5019775769</v>
      </c>
      <c r="F24" s="12" t="s">
        <v>3</v>
      </c>
      <c r="G24" s="1"/>
    </row>
    <row r="25" spans="1:7" x14ac:dyDescent="0.25">
      <c r="A25" s="1"/>
      <c r="B25" s="82" t="s">
        <v>68</v>
      </c>
      <c r="C25" s="82"/>
      <c r="D25" s="82"/>
      <c r="E25" s="8">
        <v>4934778</v>
      </c>
      <c r="F25" s="12" t="s">
        <v>3</v>
      </c>
      <c r="G25" s="1"/>
    </row>
    <row r="26" spans="1:7" x14ac:dyDescent="0.25">
      <c r="A26" s="1"/>
      <c r="B26" s="82" t="s">
        <v>44</v>
      </c>
      <c r="C26" s="82"/>
      <c r="D26" s="82"/>
      <c r="E26" s="8">
        <v>0</v>
      </c>
      <c r="F26" s="12" t="s">
        <v>3</v>
      </c>
      <c r="G26" s="1"/>
    </row>
    <row r="27" spans="1:7" x14ac:dyDescent="0.25">
      <c r="A27" s="1"/>
      <c r="B27" s="83" t="s">
        <v>130</v>
      </c>
      <c r="C27" s="83"/>
      <c r="D27" s="83"/>
      <c r="E27" s="9">
        <f>E24-(E25-E26)</f>
        <v>-503905.49802242313</v>
      </c>
      <c r="F27" s="15" t="s">
        <v>3</v>
      </c>
      <c r="G27" s="1"/>
    </row>
    <row r="28" spans="1:7" x14ac:dyDescent="0.25">
      <c r="A28" s="1"/>
      <c r="B28" s="78"/>
      <c r="C28" s="79"/>
      <c r="D28" s="79"/>
      <c r="E28" s="79"/>
      <c r="F28" s="80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1" t="s">
        <v>114</v>
      </c>
      <c r="C31" s="81"/>
      <c r="D31" s="81"/>
      <c r="E31" s="81"/>
      <c r="F31" s="81"/>
      <c r="G31" s="1"/>
    </row>
    <row r="32" spans="1:7" x14ac:dyDescent="0.25">
      <c r="A32" s="1"/>
      <c r="B32" s="75" t="s">
        <v>47</v>
      </c>
      <c r="C32" s="75"/>
      <c r="D32" s="75"/>
      <c r="E32" s="8">
        <f>E9</f>
        <v>-511572.07643121213</v>
      </c>
      <c r="F32" s="12" t="s">
        <v>3</v>
      </c>
      <c r="G32" s="1"/>
    </row>
    <row r="33" spans="1:7" x14ac:dyDescent="0.25">
      <c r="A33" s="1"/>
      <c r="B33" s="75" t="s">
        <v>128</v>
      </c>
      <c r="C33" s="75"/>
      <c r="D33" s="75"/>
      <c r="E33" s="8">
        <f>IF(E18+E27&lt;0,E18+E27,0)</f>
        <v>-1579652.855022423</v>
      </c>
      <c r="F33" s="12" t="s">
        <v>3</v>
      </c>
      <c r="G33" s="1"/>
    </row>
    <row r="34" spans="1:7" x14ac:dyDescent="0.25">
      <c r="A34" s="1"/>
      <c r="B34" s="75" t="s">
        <v>122</v>
      </c>
      <c r="C34" s="75"/>
      <c r="D34" s="75"/>
      <c r="E34" s="8">
        <v>4</v>
      </c>
      <c r="F34" s="12" t="s">
        <v>27</v>
      </c>
      <c r="G34" s="1"/>
    </row>
    <row r="35" spans="1:7" x14ac:dyDescent="0.25">
      <c r="A35" s="1"/>
      <c r="B35" s="83" t="s">
        <v>149</v>
      </c>
      <c r="C35" s="83"/>
      <c r="D35" s="83"/>
      <c r="E35" s="9">
        <f>SUM(E32:E33)/E34</f>
        <v>-522806.23286340875</v>
      </c>
      <c r="F35" s="15" t="s">
        <v>3</v>
      </c>
      <c r="G35" s="1"/>
    </row>
    <row r="36" spans="1:7" x14ac:dyDescent="0.25">
      <c r="A36" s="1"/>
      <c r="B36" s="81"/>
      <c r="C36" s="81"/>
      <c r="D36" s="81"/>
      <c r="E36" s="81"/>
      <c r="F36" s="8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RtztQuSUdtLDLF3JpQabNrjnfMcrtTBUZOoQllf4tAHIgpvKcP9M8E8ecdZ1r+x7J+wbg0doZmsofTrpZUT7iw==" saltValue="bWCswtag285aEhjh8Ug9Ig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2" t="s">
        <v>150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1" t="s">
        <v>94</v>
      </c>
      <c r="C8" s="81"/>
      <c r="D8" s="81"/>
      <c r="E8" s="81"/>
      <c r="F8" s="81"/>
      <c r="G8" s="1"/>
    </row>
    <row r="9" spans="1:7" ht="28.5" customHeight="1" x14ac:dyDescent="0.25">
      <c r="A9" s="1"/>
      <c r="B9" s="70" t="s">
        <v>98</v>
      </c>
      <c r="C9" s="70"/>
      <c r="D9" s="70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7" t="s">
        <v>3</v>
      </c>
      <c r="G9" s="1"/>
    </row>
    <row r="10" spans="1:7" x14ac:dyDescent="0.25">
      <c r="A10" s="1"/>
      <c r="B10" s="43" t="s">
        <v>109</v>
      </c>
      <c r="C10" s="43"/>
      <c r="D10" s="43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zYRk61+XBNb60GR111VS0kHTaPIZ9bQlwOeL7sYiuMw+EySn2EWLo2e/TXP3SQFo8yFHSLGr9O33bKEd5v8ytw==" saltValue="EnnpvmOh8HLS2sJoKS7+W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2019-10-15T11:15:34Z</dcterms:modified>
</cp:coreProperties>
</file>