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Skanderborg Spildevand AS (S085)\ØR2025\"/>
    </mc:Choice>
  </mc:AlternateContent>
  <xr:revisionPtr revIDLastSave="0" documentId="13_ncr:1_{77E2E8D5-0053-42A0-879F-3AE065B5A53A}"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19" i="19"/>
  <c r="C20"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<sst xmlns="http://schemas.openxmlformats.org/spreadsheetml/2006/main" count="559" uniqueCount="246">
  <si>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</si>
  <si>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</si>
  <si>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</si>
  <si>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</si>
  <si>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</si>
  <si>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</si>
  <si>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</si>
  <si>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</si>
  <si>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</si>
  <si>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</si>
  <si>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</si>
  <si>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</si>
  <si>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</si>
  <si>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</si>
  <si>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</si>
  <si>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</si>
  <si>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</si>
  <si>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</si>
  <si>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</si>
  <si>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</si>
  <si>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</si>
  <si>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</si>
  <si>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</si>
  <si>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</si>
  <si>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</si>
  <si>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</si>
  <si>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</si>
  <si>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</si>
  <si>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</si>
  <si>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</si>
  <si>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</si>
  <si>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</si>
  <si>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</si>
  <si>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</si>
  <si>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</si>
  <si>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</si>
  <si>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</si>
  <si>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</si>
  <si>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Drift</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</si>
  <si>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</si>
  <si>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</si>
  <si>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</si>
  <si>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</si>
  <si>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</si>
  <si>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</si>
  <si>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</si>
  <si>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</si>
  <si>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</si>
  <si>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</si>
  <si>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</si>
  <si>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</si>
  <si>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</si>
  <si>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</si>
  <si>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</si>
  <si>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</si>
  <si>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</si>
  <si>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</si>
  <si>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</si>
  <si>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</si>
  <si>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</si>
  <si>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</si>
  <si>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</si>
  <si>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</si>
  <si>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</si>
  <si>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</si>
  <si>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</si>
  <si>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</si>
  <si>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</si>
  <si>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</si>
  <si>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</si>
  <si>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</si>
  <si>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</si>
  <si>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</si>
  <si>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</si>
  <si>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</si>
  <si>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</si>
  <si>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</si>
  <si>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</si>
  <si>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</si>
  <si>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</si>
  <si>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</si>
  <si>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</si>
  <si>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</si>
  <si>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</si>
  <si>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</si>
  <si>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</si>
  <si>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</si>
  <si>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</si>
  <si>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</si>
  <si>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</si>
  <si>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</si>
  <si>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</si>
  <si>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</si>
  <si>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</si>
  <si>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</si>
  <si>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</si>
  <si>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</si>
  <si>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</si>
  <si>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</si>
  <si>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</si>
  <si>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</si>
  <si>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</si>
  <si>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</si>
  <si>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</si>
  <si>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</si>
  <si>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</si>
  <si>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</si>
  <si>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</si>
  <si>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</si>
  <si>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</si>
  <si>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</si>
  <si>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</si>
  <si>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</si>
  <si>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</si>
  <si>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</si>
  <si>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</si>
  <si>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</si>
  <si>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</si>
  <si>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</si>
  <si>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</si>
  <si>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</si>
  <si>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</si>
  <si>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</si>
  <si>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</si>
  <si>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</si>
  <si>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</si>
  <si>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</si>
  <si>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</si>
  <si>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</si>
  <si>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</si>
  <si>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</si>
  <si>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</si>
  <si>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</si>
  <si>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</si>
  <si>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</si>
  <si>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</si>
  <si>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</si>
  <si>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</si>
  <si>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</si>
  <si>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</si>
  <si>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</si>
  <si>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</si>
  <si>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</si>
  <si>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</si>
  <si>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</si>
  <si>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</si>
  <si>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</si>
  <si>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</si>
  <si>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</si>
  <si>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</si>
  <si>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</si>
  <si>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</si>
  <si>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</si>
  <si>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</si>
  <si>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</si>
  <si>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</si>
  <si>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</si>
  <si>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</si>
  <si>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</si>
  <si>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</si>
  <si>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</si>
  <si>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</si>
  <si>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</si>
  <si>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</si>
  <si>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</si>
  <si>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</si>
  <si>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</si>
  <si>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</si>
  <si>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</si>
  <si>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</si>
  <si>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</si>
  <si>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</si>
  <si>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</si>
  <si>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</si>
  <si>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</si>
  <si>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</si>
  <si>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</si>
  <si>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</si>
  <si>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</si>
  <si>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</si>
  <si>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</si>
  <si>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</si>
  <si>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</si>
  <si>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</si>
  <si>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</si>
  <si>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</si>
  <si>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</si>
  <si>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</si>
  <si>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</si>
  <si>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</si>
  <si>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</si>
  <si>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</si>
  <si>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</si>
  <si>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</si>
  <si>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</si>
  <si>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</si>
  <si>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</si>
  <si>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</si>
  <si>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</si>
  <si>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</si>
  <si>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</si>
  <si>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</si>
  <si>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</si>
  <si>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</si>
  <si>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</si>
  <si>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</si>
  <si>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</si>
  <si>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</si>
  <si>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</si>
  <si>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</si>
  <si>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</si>
  <si>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</si>
  <si>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</si>
  <si>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</si>
  <si>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</si>
  <si>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</si>
  <si>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</si>
  <si>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</si>
  <si>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</si>
  <si>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</si>
  <si>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</si>
  <si>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</si>
  <si>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</si>
  <si>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</si>
  <si>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</si>
  <si>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</si>
  <si>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</si>
  <si>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</si>
  <si>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</si>
  <si>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</si>
  <si>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</si>
  <si>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</si>
  <si>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</si>
  <si>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</si>
  <si>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</si>
  <si>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</si>
  <si>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Tjenestemandspensioner</t>
  </si>
  <si>
    <t>Gebyr til Miljøstyrelsen</t>
  </si>
  <si>
    <t>Hovedpumpestation - Arbejds- og miljøforhold</t>
  </si>
  <si>
    <t>NFI krav</t>
  </si>
  <si>
    <t>Overløb og Fejlkoblinger</t>
  </si>
  <si>
    <t>Separatkloakering</t>
  </si>
  <si>
    <t>Sorte Sø</t>
  </si>
  <si>
    <t>Udvidelse af forsyningsområde</t>
  </si>
  <si>
    <t>PFAS</t>
  </si>
  <si>
    <t>Periodevise driftsomkostninger - oprensning af bassiner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</si>
</sst>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3" fontId="15" fillId="8" borderId="1" xfId="0"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4" xfId="0" applyFont="1" applyFill="1" applyBorder="1" applyAlignment="1" applyProtection="1">
      <alignment horizontal="lef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7" t="s">
        <v>4</v>
      </c>
      <c r="D6" s="87"/>
      <c r="E6" s="87"/>
      <c r="F6" s="87"/>
      <c r="G6" s="3"/>
    </row>
    <row r="7" spans="1:7" ht="15" customHeight="1" x14ac:dyDescent="0.25">
      <c r="A7" s="1"/>
      <c r="B7" s="3"/>
      <c r="C7" s="87"/>
      <c r="D7" s="87"/>
      <c r="E7" s="87"/>
      <c r="F7" s="87"/>
      <c r="G7" s="3"/>
    </row>
    <row r="8" spans="1:7" ht="15.75" x14ac:dyDescent="0.25">
      <c r="A8" s="1"/>
      <c r="B8" s="4"/>
      <c r="C8" s="95" t="s">
        <v>231</v>
      </c>
      <c r="D8" s="95"/>
      <c r="E8" s="95"/>
      <c r="F8" s="95"/>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4" t="s">
        <v>5</v>
      </c>
      <c r="D11" s="94"/>
      <c r="E11" s="94"/>
      <c r="F11" s="94"/>
      <c r="G11" s="5"/>
    </row>
    <row r="12" spans="1:7" x14ac:dyDescent="0.25">
      <c r="A12" s="1"/>
      <c r="B12" s="1"/>
      <c r="C12" s="1"/>
      <c r="D12" s="1"/>
      <c r="E12" s="1"/>
      <c r="F12" s="1"/>
      <c r="G12" s="5"/>
    </row>
    <row r="13" spans="1:7" x14ac:dyDescent="0.25">
      <c r="A13" s="1"/>
      <c r="B13" s="6" t="s">
        <v>6</v>
      </c>
      <c r="C13" s="99" t="s">
        <v>128</v>
      </c>
      <c r="D13" s="100"/>
      <c r="E13" s="100"/>
      <c r="F13" s="101"/>
      <c r="G13" s="5"/>
    </row>
    <row r="14" spans="1:7" x14ac:dyDescent="0.25">
      <c r="A14" s="1"/>
      <c r="B14" s="6" t="s">
        <v>16</v>
      </c>
      <c r="C14" s="84" t="s">
        <v>187</v>
      </c>
      <c r="D14" s="85"/>
      <c r="E14" s="85"/>
      <c r="F14" s="86"/>
      <c r="G14" s="5"/>
    </row>
    <row r="15" spans="1:7" x14ac:dyDescent="0.25">
      <c r="A15" s="1"/>
      <c r="B15" s="6" t="s">
        <v>30</v>
      </c>
      <c r="C15" s="84" t="s">
        <v>150</v>
      </c>
      <c r="D15" s="85"/>
      <c r="E15" s="85"/>
      <c r="F15" s="86"/>
      <c r="G15" s="5"/>
    </row>
    <row r="16" spans="1:7" x14ac:dyDescent="0.25">
      <c r="A16" s="1"/>
      <c r="B16" s="6" t="s">
        <v>31</v>
      </c>
      <c r="C16" s="84" t="s">
        <v>152</v>
      </c>
      <c r="D16" s="85"/>
      <c r="E16" s="85"/>
      <c r="F16" s="86"/>
      <c r="G16" s="5"/>
    </row>
    <row r="17" spans="1:8" x14ac:dyDescent="0.25">
      <c r="A17" s="1"/>
      <c r="B17" s="6" t="s">
        <v>62</v>
      </c>
      <c r="C17" s="84" t="s">
        <v>153</v>
      </c>
      <c r="D17" s="85"/>
      <c r="E17" s="85"/>
      <c r="F17" s="86"/>
      <c r="G17" s="5"/>
    </row>
    <row r="18" spans="1:8" x14ac:dyDescent="0.25">
      <c r="A18" s="1"/>
      <c r="B18" s="6" t="s">
        <v>54</v>
      </c>
      <c r="C18" s="96" t="s">
        <v>46</v>
      </c>
      <c r="D18" s="97"/>
      <c r="E18" s="97"/>
      <c r="F18" s="98"/>
      <c r="G18" s="5"/>
    </row>
    <row r="19" spans="1:8" x14ac:dyDescent="0.25">
      <c r="A19" s="1"/>
      <c r="B19" s="6" t="s">
        <v>55</v>
      </c>
      <c r="C19" s="96" t="s">
        <v>47</v>
      </c>
      <c r="D19" s="97"/>
      <c r="E19" s="97"/>
      <c r="F19" s="98"/>
      <c r="G19" s="5"/>
    </row>
    <row r="20" spans="1:8" x14ac:dyDescent="0.25">
      <c r="A20" s="1"/>
      <c r="B20" s="6" t="s">
        <v>7</v>
      </c>
      <c r="C20" s="96" t="s">
        <v>10</v>
      </c>
      <c r="D20" s="97"/>
      <c r="E20" s="97"/>
      <c r="F20" s="98"/>
      <c r="G20" s="5"/>
    </row>
    <row r="21" spans="1:8" x14ac:dyDescent="0.25">
      <c r="A21" s="1"/>
      <c r="B21" s="6" t="s">
        <v>56</v>
      </c>
      <c r="C21" s="88" t="s">
        <v>12</v>
      </c>
      <c r="D21" s="89"/>
      <c r="E21" s="89"/>
      <c r="F21" s="90"/>
      <c r="G21" s="5"/>
    </row>
    <row r="22" spans="1:8" x14ac:dyDescent="0.25">
      <c r="A22" s="1"/>
      <c r="B22" s="6" t="s">
        <v>40</v>
      </c>
      <c r="C22" s="91" t="s">
        <v>154</v>
      </c>
      <c r="D22" s="92"/>
      <c r="E22" s="92"/>
      <c r="F22" s="93"/>
      <c r="G22" s="5"/>
    </row>
    <row r="23" spans="1:8" x14ac:dyDescent="0.25">
      <c r="A23" s="1"/>
      <c r="B23" s="6" t="s">
        <v>8</v>
      </c>
      <c r="C23" s="91" t="s">
        <v>113</v>
      </c>
      <c r="D23" s="92"/>
      <c r="E23" s="92"/>
      <c r="F23" s="93"/>
      <c r="G23" s="5"/>
    </row>
    <row r="24" spans="1:8" x14ac:dyDescent="0.25">
      <c r="A24" s="1"/>
      <c r="B24" s="6" t="s">
        <v>9</v>
      </c>
      <c r="C24" s="91" t="s">
        <v>155</v>
      </c>
      <c r="D24" s="92"/>
      <c r="E24" s="92"/>
      <c r="F24" s="93"/>
      <c r="G24" s="5"/>
    </row>
    <row r="25" spans="1:8" x14ac:dyDescent="0.25">
      <c r="A25" s="1"/>
      <c r="B25" s="6" t="s">
        <v>98</v>
      </c>
      <c r="C25" s="91" t="s">
        <v>92</v>
      </c>
      <c r="D25" s="92"/>
      <c r="E25" s="92"/>
      <c r="F25" s="93"/>
      <c r="G25" s="1"/>
    </row>
    <row r="26" spans="1:8" x14ac:dyDescent="0.25">
      <c r="A26" s="1"/>
      <c r="B26" s="6" t="s">
        <v>99</v>
      </c>
      <c r="C26" s="91" t="s">
        <v>41</v>
      </c>
      <c r="D26" s="92"/>
      <c r="E26" s="92"/>
      <c r="F26" s="93"/>
      <c r="G26" s="1"/>
    </row>
    <row r="27" spans="1:8" x14ac:dyDescent="0.25">
      <c r="A27" s="1"/>
      <c r="B27" s="6" t="s">
        <v>100</v>
      </c>
      <c r="C27" s="91" t="s">
        <v>42</v>
      </c>
      <c r="D27" s="92"/>
      <c r="E27" s="92"/>
      <c r="F27" s="93"/>
      <c r="G27" s="1"/>
    </row>
    <row r="28" spans="1:8" x14ac:dyDescent="0.25">
      <c r="A28" s="1"/>
      <c r="B28" s="6" t="s">
        <v>15</v>
      </c>
      <c r="C28" s="91" t="s">
        <v>43</v>
      </c>
      <c r="D28" s="92"/>
      <c r="E28" s="92"/>
      <c r="F28" s="93"/>
      <c r="G28" s="1"/>
      <c r="H28" s="2" t="s">
        <v>151</v>
      </c>
    </row>
    <row r="29" spans="1:8" x14ac:dyDescent="0.25">
      <c r="A29" s="1"/>
      <c r="B29" s="6" t="s">
        <v>33</v>
      </c>
      <c r="C29" s="91" t="s">
        <v>69</v>
      </c>
      <c r="D29" s="92"/>
      <c r="E29" s="92"/>
      <c r="F29" s="93"/>
      <c r="G29" s="1"/>
    </row>
    <row r="30" spans="1:8" x14ac:dyDescent="0.25">
      <c r="A30" s="1"/>
      <c r="B30" s="6" t="s">
        <v>34</v>
      </c>
      <c r="C30" s="91" t="s">
        <v>32</v>
      </c>
      <c r="D30" s="92"/>
      <c r="E30" s="92"/>
      <c r="F30" s="93"/>
      <c r="G30" s="1"/>
    </row>
    <row r="31" spans="1:8" x14ac:dyDescent="0.25">
      <c r="A31" s="1"/>
      <c r="B31" s="6" t="s">
        <v>101</v>
      </c>
      <c r="C31" s="102" t="s">
        <v>53</v>
      </c>
      <c r="D31" s="103"/>
      <c r="E31" s="103"/>
      <c r="F31" s="104"/>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l1CwraLX+GKtS42mqHPcVDSCRATrGkRnsriA/05h6VJVgxznEd2F4dkbFlATSl7P3yV7NYT0MZ8pnt0QbwYurA==" saltValue="gE7HtlawgQ//0EdO1AAdXw=="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59</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2" t="s">
        <v>166</v>
      </c>
      <c r="C8" s="113"/>
      <c r="D8" s="114"/>
      <c r="E8" s="1"/>
    </row>
    <row r="9" spans="1:5" ht="15" customHeight="1" x14ac:dyDescent="0.25">
      <c r="A9" s="1"/>
      <c r="B9" s="27" t="s">
        <v>28</v>
      </c>
      <c r="C9" s="68" t="s">
        <v>167</v>
      </c>
      <c r="D9" s="11"/>
      <c r="E9" s="1"/>
    </row>
    <row r="10" spans="1:5" ht="15" customHeight="1" x14ac:dyDescent="0.25">
      <c r="A10" s="1"/>
      <c r="B10" s="73" t="s">
        <v>232</v>
      </c>
      <c r="C10" s="74">
        <v>1267459</v>
      </c>
      <c r="D10" s="14" t="s">
        <v>3</v>
      </c>
      <c r="E10" s="1"/>
    </row>
    <row r="11" spans="1:5" ht="15" customHeight="1" x14ac:dyDescent="0.25">
      <c r="A11" s="1"/>
      <c r="B11" s="73" t="s">
        <v>233</v>
      </c>
      <c r="C11" s="74">
        <v>95671</v>
      </c>
      <c r="D11" s="14" t="s">
        <v>3</v>
      </c>
      <c r="E11" s="1"/>
    </row>
    <row r="12" spans="1:5" ht="25.5" x14ac:dyDescent="0.25">
      <c r="A12" s="1"/>
      <c r="B12" s="73" t="s">
        <v>234</v>
      </c>
      <c r="C12" s="74">
        <v>1336852</v>
      </c>
      <c r="D12" s="14" t="s">
        <v>3</v>
      </c>
      <c r="E12" s="1"/>
    </row>
    <row r="13" spans="1:5" x14ac:dyDescent="0.25">
      <c r="A13" s="1"/>
      <c r="B13" s="73" t="s">
        <v>235</v>
      </c>
      <c r="C13" s="74">
        <v>476335</v>
      </c>
      <c r="D13" s="14" t="s">
        <v>3</v>
      </c>
      <c r="E13" s="1"/>
    </row>
    <row r="14" spans="1:5" x14ac:dyDescent="0.25">
      <c r="A14" s="1"/>
      <c r="B14" s="73" t="s">
        <v>236</v>
      </c>
      <c r="C14" s="74">
        <v>101752</v>
      </c>
      <c r="D14" s="14" t="s">
        <v>3</v>
      </c>
      <c r="E14" s="1"/>
    </row>
    <row r="15" spans="1:5" x14ac:dyDescent="0.25">
      <c r="A15" s="1"/>
      <c r="B15" s="73" t="s">
        <v>237</v>
      </c>
      <c r="C15" s="74">
        <v>17580</v>
      </c>
      <c r="D15" s="14" t="s">
        <v>3</v>
      </c>
      <c r="E15" s="1"/>
    </row>
    <row r="16" spans="1:5" x14ac:dyDescent="0.25">
      <c r="A16" s="1"/>
      <c r="B16" s="73"/>
      <c r="C16" s="74"/>
      <c r="D16" s="14" t="s">
        <v>3</v>
      </c>
      <c r="E16" s="1"/>
    </row>
    <row r="17" spans="1:5" x14ac:dyDescent="0.25">
      <c r="A17" s="1"/>
      <c r="B17" s="73"/>
      <c r="C17" s="74"/>
      <c r="D17" s="14" t="s">
        <v>3</v>
      </c>
      <c r="E17" s="1"/>
    </row>
    <row r="18" spans="1:5" x14ac:dyDescent="0.25">
      <c r="A18" s="1"/>
      <c r="B18" s="73"/>
      <c r="C18" s="74"/>
      <c r="D18" s="14" t="s">
        <v>3</v>
      </c>
      <c r="E18" s="1"/>
    </row>
    <row r="19" spans="1:5" x14ac:dyDescent="0.25">
      <c r="A19" s="1"/>
      <c r="B19" s="33" t="s">
        <v>168</v>
      </c>
      <c r="C19" s="12">
        <f>SUM(C10:C18)</f>
        <v>3295649</v>
      </c>
      <c r="D19" s="13" t="s">
        <v>3</v>
      </c>
      <c r="E19" s="1"/>
    </row>
    <row r="20" spans="1:5" x14ac:dyDescent="0.25">
      <c r="A20" s="1"/>
      <c r="B20" s="33" t="s">
        <v>169</v>
      </c>
      <c r="C20" s="12">
        <f>C19*(1+'Fane 15. Nøgletal'!C10)^2</f>
        <v>3747138.70875281</v>
      </c>
      <c r="D20" s="13" t="s">
        <v>3</v>
      </c>
      <c r="E20" s="1"/>
    </row>
    <row r="21" spans="1:5" x14ac:dyDescent="0.25">
      <c r="A21" s="1"/>
      <c r="B21" s="16"/>
      <c r="C21" s="15"/>
      <c r="D21" s="15"/>
      <c r="E21" s="1"/>
    </row>
    <row r="22" spans="1:5" x14ac:dyDescent="0.25">
      <c r="A22" s="1"/>
      <c r="B22" s="16"/>
      <c r="C22" s="15"/>
      <c r="D22" s="15"/>
      <c r="E22" s="1"/>
    </row>
    <row r="23" spans="1:5" x14ac:dyDescent="0.25">
      <c r="A23" s="1"/>
      <c r="B23" s="112" t="s">
        <v>61</v>
      </c>
      <c r="C23" s="113"/>
      <c r="D23" s="114"/>
      <c r="E23" s="1"/>
    </row>
    <row r="24" spans="1:5" x14ac:dyDescent="0.25">
      <c r="A24" s="1"/>
      <c r="B24" s="37" t="s">
        <v>73</v>
      </c>
      <c r="C24" s="9">
        <v>2106226</v>
      </c>
      <c r="D24" s="14" t="s">
        <v>3</v>
      </c>
      <c r="E24" s="1"/>
    </row>
    <row r="25" spans="1:5" x14ac:dyDescent="0.25">
      <c r="A25" s="1"/>
      <c r="B25" s="37" t="s">
        <v>84</v>
      </c>
      <c r="C25" s="9">
        <v>2106226</v>
      </c>
      <c r="D25" s="14" t="s">
        <v>3</v>
      </c>
      <c r="E25" s="1"/>
    </row>
    <row r="26" spans="1:5" x14ac:dyDescent="0.25">
      <c r="A26" s="1"/>
      <c r="B26" s="37" t="s">
        <v>149</v>
      </c>
      <c r="C26" s="9">
        <v>2106226</v>
      </c>
      <c r="D26" s="14" t="s">
        <v>3</v>
      </c>
      <c r="E26" s="1"/>
    </row>
    <row r="27" spans="1:5" x14ac:dyDescent="0.25">
      <c r="A27" s="1"/>
      <c r="B27" s="34" t="s">
        <v>170</v>
      </c>
      <c r="C27" s="9">
        <v>2106226</v>
      </c>
      <c r="D27" s="36" t="s">
        <v>3</v>
      </c>
      <c r="E27" s="1"/>
    </row>
    <row r="28" spans="1:5" x14ac:dyDescent="0.25">
      <c r="A28" s="1"/>
      <c r="B28" s="112"/>
      <c r="C28" s="113"/>
      <c r="D28" s="114"/>
      <c r="E28" s="1"/>
    </row>
    <row r="29" spans="1:5" x14ac:dyDescent="0.25">
      <c r="A29" s="1"/>
      <c r="B29" s="1"/>
      <c r="C29" s="1"/>
      <c r="D29" s="1"/>
      <c r="E29" s="1"/>
    </row>
    <row r="30" spans="1:5" x14ac:dyDescent="0.25">
      <c r="A30" s="1"/>
      <c r="B30" s="1"/>
      <c r="C30" s="1"/>
      <c r="D30" s="1"/>
      <c r="E30" s="1"/>
    </row>
    <row r="31" spans="1:5" x14ac:dyDescent="0.25">
      <c r="A31" s="1"/>
      <c r="B31" s="112" t="s">
        <v>48</v>
      </c>
      <c r="C31" s="113"/>
      <c r="D31" s="114"/>
      <c r="E31" s="1"/>
    </row>
    <row r="32" spans="1:5" x14ac:dyDescent="0.25">
      <c r="A32" s="1"/>
      <c r="B32" s="37" t="s">
        <v>73</v>
      </c>
      <c r="C32" s="9">
        <v>0</v>
      </c>
      <c r="D32" s="14" t="s">
        <v>3</v>
      </c>
      <c r="E32" s="1"/>
    </row>
    <row r="33" spans="1:5" x14ac:dyDescent="0.25">
      <c r="A33" s="1"/>
      <c r="B33" s="37" t="s">
        <v>84</v>
      </c>
      <c r="C33" s="9">
        <v>0</v>
      </c>
      <c r="D33" s="14" t="s">
        <v>3</v>
      </c>
      <c r="E33" s="1"/>
    </row>
    <row r="34" spans="1:5" x14ac:dyDescent="0.25">
      <c r="A34" s="1"/>
      <c r="B34" s="37" t="s">
        <v>149</v>
      </c>
      <c r="C34" s="9">
        <v>0</v>
      </c>
      <c r="D34" s="14" t="s">
        <v>3</v>
      </c>
      <c r="E34" s="1"/>
    </row>
    <row r="35" spans="1:5" x14ac:dyDescent="0.25">
      <c r="A35" s="1"/>
      <c r="B35" s="34" t="s">
        <v>170</v>
      </c>
      <c r="C35" s="9">
        <v>0</v>
      </c>
      <c r="D35" s="36" t="s">
        <v>3</v>
      </c>
      <c r="E35" s="1"/>
    </row>
    <row r="36" spans="1:5" x14ac:dyDescent="0.25">
      <c r="A36" s="1"/>
      <c r="B36" s="112"/>
      <c r="C36" s="113"/>
      <c r="D36" s="114"/>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x14ac:dyDescent="0.25"/>
  </sheetData>
  <sheetProtection algorithmName="SHA-512" hashValue="1Z1ib/Alr9BI6XzHevEE9EMQ5dn9qOspVlPglxYdaFEBZGah8Dtr0N+RnZpHHdc1QkiomT3iRoVOIeyT5NuDCg==" saltValue="kTuROoBfzaAbauqOoN+XJg==" spinCount="100000" sheet="1" objects="1" scenarios="1"/>
  <mergeCells count="6">
    <mergeCell ref="B36:D36"/>
    <mergeCell ref="B3:D4"/>
    <mergeCell ref="B8:D8"/>
    <mergeCell ref="B23:D23"/>
    <mergeCell ref="B31:D31"/>
    <mergeCell ref="B28:D28"/>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202</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78</v>
      </c>
      <c r="C8" s="113"/>
      <c r="D8" s="114"/>
      <c r="E8" s="1"/>
    </row>
    <row r="9" spans="1:5" x14ac:dyDescent="0.25">
      <c r="A9" s="1"/>
      <c r="B9" s="66" t="s">
        <v>205</v>
      </c>
      <c r="C9" s="9">
        <v>2498113.5449013859</v>
      </c>
      <c r="D9" s="14" t="s">
        <v>3</v>
      </c>
      <c r="E9" s="1"/>
    </row>
    <row r="10" spans="1:5" x14ac:dyDescent="0.25">
      <c r="A10" s="1"/>
      <c r="B10" s="33"/>
      <c r="C10" s="28"/>
      <c r="D10" s="19"/>
      <c r="E10" s="1"/>
    </row>
    <row r="11" spans="1:5" ht="53.25" customHeight="1" x14ac:dyDescent="0.25">
      <c r="A11" s="1"/>
      <c r="B11" s="123" t="s">
        <v>213</v>
      </c>
      <c r="C11" s="124"/>
      <c r="D11" s="125"/>
      <c r="E11" s="1"/>
    </row>
    <row r="12" spans="1:5" x14ac:dyDescent="0.25">
      <c r="A12" s="1"/>
      <c r="B12" s="1"/>
      <c r="C12" s="1"/>
      <c r="D12" s="1"/>
      <c r="E12" s="1"/>
    </row>
    <row r="13" spans="1:5" x14ac:dyDescent="0.25">
      <c r="A13" s="1"/>
      <c r="B13" s="112" t="s">
        <v>79</v>
      </c>
      <c r="C13" s="113"/>
      <c r="D13" s="114"/>
      <c r="E13" s="1"/>
    </row>
    <row r="14" spans="1:5" x14ac:dyDescent="0.25">
      <c r="A14" s="1"/>
      <c r="B14" s="66" t="s">
        <v>203</v>
      </c>
      <c r="C14" s="9">
        <v>0</v>
      </c>
      <c r="D14" s="14" t="s">
        <v>3</v>
      </c>
      <c r="E14" s="1"/>
    </row>
    <row r="15" spans="1:5" x14ac:dyDescent="0.25">
      <c r="A15" s="1"/>
      <c r="B15" s="66" t="s">
        <v>204</v>
      </c>
      <c r="C15" s="9">
        <v>0</v>
      </c>
      <c r="D15" s="14" t="s">
        <v>3</v>
      </c>
      <c r="E15" s="1"/>
    </row>
    <row r="16" spans="1:5" x14ac:dyDescent="0.25">
      <c r="A16" s="1"/>
      <c r="B16" s="33"/>
      <c r="C16" s="28"/>
      <c r="D16" s="19"/>
      <c r="E16" s="1"/>
    </row>
    <row r="17" spans="1:5" ht="29.25" customHeight="1" x14ac:dyDescent="0.25">
      <c r="A17" s="1"/>
      <c r="B17" s="123" t="s">
        <v>122</v>
      </c>
      <c r="C17" s="124"/>
      <c r="D17" s="125"/>
      <c r="E17" s="1"/>
    </row>
    <row r="18" spans="1:5" x14ac:dyDescent="0.25">
      <c r="A18" s="1"/>
      <c r="B18" s="1"/>
      <c r="C18" s="1"/>
      <c r="D18" s="1"/>
      <c r="E18" s="1"/>
    </row>
    <row r="19" spans="1:5" x14ac:dyDescent="0.25">
      <c r="A19" s="1"/>
      <c r="B19" s="77" t="s">
        <v>206</v>
      </c>
      <c r="C19" s="78"/>
      <c r="D19" s="79"/>
      <c r="E19" s="1"/>
    </row>
    <row r="20" spans="1:5" x14ac:dyDescent="0.25">
      <c r="A20" s="1"/>
      <c r="B20" s="66" t="s">
        <v>207</v>
      </c>
      <c r="C20" s="9">
        <v>107181058.09903741</v>
      </c>
      <c r="D20" s="14" t="s">
        <v>3</v>
      </c>
      <c r="E20" s="1"/>
    </row>
    <row r="21" spans="1:5" x14ac:dyDescent="0.25">
      <c r="A21" s="1"/>
      <c r="B21" s="66" t="s">
        <v>208</v>
      </c>
      <c r="C21" s="9">
        <v>109894704</v>
      </c>
      <c r="D21" s="14" t="s">
        <v>3</v>
      </c>
      <c r="E21" s="1"/>
    </row>
    <row r="22" spans="1:5" x14ac:dyDescent="0.25">
      <c r="A22" s="1"/>
      <c r="B22" s="66" t="s">
        <v>29</v>
      </c>
      <c r="C22" s="9">
        <v>0</v>
      </c>
      <c r="D22" s="14" t="s">
        <v>3</v>
      </c>
      <c r="E22" s="1"/>
    </row>
    <row r="23" spans="1:5" x14ac:dyDescent="0.25">
      <c r="A23" s="1"/>
      <c r="B23" s="83" t="s">
        <v>209</v>
      </c>
      <c r="C23" s="57">
        <f>C20-C21-C22</f>
        <v>-2713645.9009625912</v>
      </c>
      <c r="D23" s="17" t="s">
        <v>3</v>
      </c>
      <c r="E23" s="1"/>
    </row>
    <row r="24" spans="1:5" x14ac:dyDescent="0.25">
      <c r="A24" s="1"/>
      <c r="B24" s="33"/>
      <c r="C24" s="28"/>
      <c r="D24" s="19"/>
      <c r="E24" s="1"/>
    </row>
    <row r="25" spans="1:5" x14ac:dyDescent="0.25">
      <c r="A25" s="1"/>
      <c r="B25" s="1"/>
      <c r="C25" s="1"/>
      <c r="D25" s="1"/>
      <c r="E25" s="1"/>
    </row>
    <row r="26" spans="1:5" x14ac:dyDescent="0.25">
      <c r="A26" s="1"/>
      <c r="B26" s="112" t="s">
        <v>210</v>
      </c>
      <c r="C26" s="113"/>
      <c r="D26" s="114"/>
      <c r="E26" s="1"/>
    </row>
    <row r="27" spans="1:5" x14ac:dyDescent="0.25">
      <c r="A27" s="1"/>
      <c r="B27" s="83" t="s">
        <v>211</v>
      </c>
      <c r="C27" s="57">
        <f>IF(AND(C15&lt;0,C23&gt;0,ABS(SUM(C14:C15))&lt;C23),ABS(C14),IF(AND(C15&lt;0,C23&gt;0,ABS(SUM(C14:C15))&gt;C23),SUM(C14,C23),C15))</f>
        <v>0</v>
      </c>
      <c r="D27" s="17" t="s">
        <v>3</v>
      </c>
      <c r="E27" s="1"/>
    </row>
    <row r="28" spans="1:5" x14ac:dyDescent="0.25">
      <c r="A28" s="1"/>
      <c r="B28" s="112"/>
      <c r="C28" s="113"/>
      <c r="D28" s="114"/>
      <c r="E28" s="1"/>
    </row>
    <row r="29" spans="1:5" x14ac:dyDescent="0.25">
      <c r="A29" s="1"/>
      <c r="B29" s="1"/>
      <c r="C29" s="1"/>
      <c r="D29" s="1"/>
      <c r="E29" s="1"/>
    </row>
    <row r="30" spans="1:5" x14ac:dyDescent="0.25">
      <c r="A30" s="1"/>
      <c r="B30" s="112" t="s">
        <v>212</v>
      </c>
      <c r="C30" s="113"/>
      <c r="D30" s="114"/>
      <c r="E30" s="1"/>
    </row>
    <row r="31" spans="1:5" x14ac:dyDescent="0.25">
      <c r="A31" s="1"/>
      <c r="B31" s="67" t="s">
        <v>70</v>
      </c>
      <c r="C31" s="58">
        <f>IF(AND(C9&gt;0,(C9+C23)&gt;0),0,IF(AND(C9&gt;0,(C9+C23)&lt;0),(C9+C23),IF(AND(C9&lt;0,C23&lt;0),C23,0)))</f>
        <v>-215532.35606120527</v>
      </c>
      <c r="D31" s="14" t="s">
        <v>3</v>
      </c>
      <c r="E31" s="1"/>
    </row>
    <row r="32" spans="1:5" x14ac:dyDescent="0.25">
      <c r="A32" s="1"/>
      <c r="B32" s="67" t="s">
        <v>50</v>
      </c>
      <c r="C32" s="9">
        <v>2</v>
      </c>
      <c r="D32" s="14" t="s">
        <v>20</v>
      </c>
      <c r="E32" s="1"/>
    </row>
    <row r="33" spans="1:5" x14ac:dyDescent="0.25">
      <c r="A33" s="1"/>
      <c r="B33" s="68" t="s">
        <v>71</v>
      </c>
      <c r="C33" s="57">
        <f>C31/C32</f>
        <v>-107766.17803060263</v>
      </c>
      <c r="D33" s="17" t="s">
        <v>3</v>
      </c>
      <c r="E33" s="1"/>
    </row>
    <row r="34" spans="1:5" x14ac:dyDescent="0.25">
      <c r="A34" s="1"/>
      <c r="B34" s="120"/>
      <c r="C34" s="121"/>
      <c r="D34" s="122"/>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A4cRmqIOJfSZnsSEs1MOQy+gfMinpBUJ1/nVONcmGyRuwx4B6WNQRKRyaKdd0ytdrdT0N6xhcDG/jd40HP4fA==" saltValue="xxZmP97uohAPAxIq5LICh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11" t="s">
        <v>102</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x14ac:dyDescent="0.25">
      <c r="A8" s="1"/>
      <c r="B8" s="112" t="s">
        <v>121</v>
      </c>
      <c r="C8" s="113"/>
      <c r="D8" s="114"/>
      <c r="E8" s="1"/>
    </row>
    <row r="9" spans="1:5" ht="15" customHeight="1" x14ac:dyDescent="0.25">
      <c r="A9" s="1"/>
      <c r="B9" s="126" t="s">
        <v>103</v>
      </c>
      <c r="C9" s="127"/>
      <c r="D9" s="128"/>
      <c r="E9" s="1"/>
    </row>
    <row r="10" spans="1:5" x14ac:dyDescent="0.25">
      <c r="A10" s="1"/>
      <c r="B10" s="69" t="s">
        <v>104</v>
      </c>
      <c r="C10" s="9"/>
      <c r="D10" s="9" t="s">
        <v>3</v>
      </c>
      <c r="E10" s="1"/>
    </row>
    <row r="11" spans="1:5" x14ac:dyDescent="0.25">
      <c r="A11" s="1"/>
      <c r="B11" s="69" t="s">
        <v>105</v>
      </c>
      <c r="C11" s="9"/>
      <c r="D11" s="9" t="s">
        <v>3</v>
      </c>
      <c r="E11" s="1"/>
    </row>
    <row r="12" spans="1:5" x14ac:dyDescent="0.25">
      <c r="A12" s="1"/>
      <c r="B12" s="69" t="s">
        <v>106</v>
      </c>
      <c r="C12" s="9"/>
      <c r="D12" s="9" t="s">
        <v>3</v>
      </c>
      <c r="E12" s="1"/>
    </row>
    <row r="13" spans="1:5" x14ac:dyDescent="0.25">
      <c r="A13" s="1"/>
      <c r="B13" s="69" t="s">
        <v>107</v>
      </c>
      <c r="C13" s="9"/>
      <c r="D13" s="9" t="s">
        <v>3</v>
      </c>
      <c r="E13" s="1"/>
    </row>
    <row r="14" spans="1:5" x14ac:dyDescent="0.25">
      <c r="A14" s="1"/>
      <c r="B14" s="69" t="s">
        <v>108</v>
      </c>
      <c r="C14" s="9"/>
      <c r="D14" s="9" t="s">
        <v>3</v>
      </c>
      <c r="E14" s="1"/>
    </row>
    <row r="15" spans="1:5" x14ac:dyDescent="0.25">
      <c r="A15" s="1"/>
      <c r="B15" s="69" t="s">
        <v>109</v>
      </c>
      <c r="C15" s="9"/>
      <c r="D15" s="9" t="s">
        <v>3</v>
      </c>
      <c r="E15" s="1"/>
    </row>
    <row r="16" spans="1:5" x14ac:dyDescent="0.25">
      <c r="A16" s="1"/>
      <c r="B16" s="69" t="s">
        <v>110</v>
      </c>
      <c r="C16" s="9"/>
      <c r="D16" s="9" t="s">
        <v>3</v>
      </c>
      <c r="E16" s="1"/>
    </row>
    <row r="17" spans="1:5" x14ac:dyDescent="0.25">
      <c r="A17" s="1"/>
      <c r="B17" s="69" t="s">
        <v>111</v>
      </c>
      <c r="C17" s="9"/>
      <c r="D17" s="9" t="s">
        <v>3</v>
      </c>
      <c r="E17" s="1"/>
    </row>
    <row r="18" spans="1:5" x14ac:dyDescent="0.25">
      <c r="A18" s="1"/>
      <c r="B18" s="77" t="s">
        <v>112</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aOudtLycmmqS+E3vbR9RDzeJz1CIMgg+D6o885NUe2YlVVpnqcB391FeH2WrtHA8vkebKPZNP9ipeliPXbkQLQ==" saltValue="m6sP7e7pFRoto4cgPMQ1h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171</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12" t="s">
        <v>172</v>
      </c>
      <c r="C8" s="113"/>
      <c r="D8" s="114"/>
      <c r="E8" s="1"/>
    </row>
    <row r="9" spans="1:5" ht="26.25" x14ac:dyDescent="0.25">
      <c r="A9" s="1"/>
      <c r="B9" s="80" t="s">
        <v>218</v>
      </c>
      <c r="C9" s="7"/>
      <c r="D9" s="8" t="s">
        <v>3</v>
      </c>
      <c r="E9" s="1"/>
    </row>
    <row r="10" spans="1:5" ht="14.25" customHeight="1" x14ac:dyDescent="0.25">
      <c r="A10" s="1"/>
      <c r="B10" s="66" t="s">
        <v>173</v>
      </c>
      <c r="C10" s="7"/>
      <c r="D10" s="8" t="s">
        <v>3</v>
      </c>
      <c r="E10" s="1"/>
    </row>
    <row r="11" spans="1:5" ht="14.25" customHeight="1" x14ac:dyDescent="0.25">
      <c r="A11" s="1"/>
      <c r="B11" s="83" t="s">
        <v>49</v>
      </c>
      <c r="C11" s="10">
        <f>C10-C9</f>
        <v>0</v>
      </c>
      <c r="D11" s="11" t="s">
        <v>3</v>
      </c>
      <c r="E11" s="1"/>
    </row>
    <row r="12" spans="1:5" ht="14.25" customHeight="1" x14ac:dyDescent="0.25">
      <c r="A12" s="1"/>
      <c r="B12" s="112" t="s">
        <v>220</v>
      </c>
      <c r="C12" s="113"/>
      <c r="D12" s="114"/>
      <c r="E12" s="1"/>
    </row>
    <row r="13" spans="1:5" ht="26.25" x14ac:dyDescent="0.25">
      <c r="A13" s="1"/>
      <c r="B13" s="80" t="s">
        <v>219</v>
      </c>
      <c r="C13" s="7">
        <v>2106226</v>
      </c>
      <c r="D13" s="8" t="s">
        <v>3</v>
      </c>
      <c r="E13" s="1"/>
    </row>
    <row r="14" spans="1:5" ht="14.25" customHeight="1" x14ac:dyDescent="0.25">
      <c r="A14" s="1"/>
      <c r="B14" s="66" t="s">
        <v>174</v>
      </c>
      <c r="C14" s="7">
        <v>2040906</v>
      </c>
      <c r="D14" s="8" t="s">
        <v>3</v>
      </c>
      <c r="E14" s="1"/>
    </row>
    <row r="15" spans="1:5" ht="14.25" customHeight="1" x14ac:dyDescent="0.25">
      <c r="A15" s="1"/>
      <c r="B15" s="83" t="s">
        <v>49</v>
      </c>
      <c r="C15" s="10">
        <f>C14-C13</f>
        <v>-65320</v>
      </c>
      <c r="D15" s="11" t="s">
        <v>3</v>
      </c>
      <c r="E15" s="1"/>
    </row>
    <row r="16" spans="1:5" ht="14.25" customHeight="1" x14ac:dyDescent="0.25">
      <c r="A16" s="1"/>
      <c r="B16" s="33" t="s">
        <v>175</v>
      </c>
      <c r="C16" s="12">
        <f>C11+C15</f>
        <v>-65320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gClybjuYLLNofeEtjqiBQmwoNUUMal91VNY5YN4yKv1HOCEFbBpVrniNo5SMvQtHIVESE3fIp3mwmAH6xHGlQw==" saltValue="dSJmTkEpngqH6TreiH/pRg=="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5" t="s">
        <v>114</v>
      </c>
      <c r="C3" s="105"/>
      <c r="D3" s="105"/>
      <c r="E3" s="105"/>
      <c r="F3" s="105"/>
      <c r="G3" s="105"/>
      <c r="H3" s="105"/>
      <c r="I3" s="105"/>
      <c r="J3" s="105"/>
      <c r="K3" s="105"/>
      <c r="L3" s="1"/>
    </row>
    <row r="4" spans="1:12" ht="15" customHeight="1" x14ac:dyDescent="0.25">
      <c r="A4" s="1"/>
      <c r="B4" s="105"/>
      <c r="C4" s="105"/>
      <c r="D4" s="105"/>
      <c r="E4" s="105"/>
      <c r="F4" s="105"/>
      <c r="G4" s="105"/>
      <c r="H4" s="105"/>
      <c r="I4" s="105"/>
      <c r="J4" s="105"/>
      <c r="K4" s="10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2" t="s">
        <v>87</v>
      </c>
      <c r="C8" s="113"/>
      <c r="D8" s="113"/>
      <c r="E8" s="113"/>
      <c r="F8" s="113"/>
      <c r="G8" s="113"/>
      <c r="H8" s="113"/>
      <c r="I8" s="113"/>
      <c r="J8" s="113"/>
      <c r="K8" s="114"/>
      <c r="L8" s="1"/>
    </row>
    <row r="9" spans="1:12" ht="39.75" customHeight="1" x14ac:dyDescent="0.25">
      <c r="A9" s="1"/>
      <c r="B9" s="18" t="s">
        <v>0</v>
      </c>
      <c r="C9" s="18" t="s">
        <v>1</v>
      </c>
      <c r="D9" s="129" t="s">
        <v>97</v>
      </c>
      <c r="E9" s="130"/>
      <c r="F9" s="129" t="s">
        <v>2</v>
      </c>
      <c r="G9" s="130"/>
      <c r="H9" s="129" t="s">
        <v>96</v>
      </c>
      <c r="I9" s="130"/>
      <c r="J9" s="129" t="s">
        <v>26</v>
      </c>
      <c r="K9" s="130"/>
      <c r="L9" s="1"/>
    </row>
    <row r="10" spans="1:12" x14ac:dyDescent="0.25">
      <c r="A10" s="1"/>
      <c r="B10" s="69" t="s">
        <v>225</v>
      </c>
      <c r="C10" s="42">
        <v>0</v>
      </c>
      <c r="D10" s="9">
        <v>0</v>
      </c>
      <c r="E10" s="14" t="s">
        <v>3</v>
      </c>
      <c r="F10" s="9">
        <f>IFERROR(D10/C10,0)</f>
        <v>0</v>
      </c>
      <c r="G10" s="14" t="s">
        <v>3</v>
      </c>
      <c r="H10" s="38">
        <v>0</v>
      </c>
      <c r="I10" s="14" t="s">
        <v>3</v>
      </c>
      <c r="J10" s="38">
        <v>0</v>
      </c>
      <c r="K10" s="14" t="s">
        <v>3</v>
      </c>
      <c r="L10" s="1"/>
    </row>
    <row r="11" spans="1:12" x14ac:dyDescent="0.25">
      <c r="A11" s="1"/>
      <c r="B11" s="77" t="s">
        <v>222</v>
      </c>
      <c r="C11" s="78"/>
      <c r="D11" s="79"/>
      <c r="E11" s="79"/>
      <c r="F11" s="12">
        <f>SUM(F10:F10)</f>
        <v>0</v>
      </c>
      <c r="G11" s="12" t="s">
        <v>95</v>
      </c>
      <c r="H11" s="12">
        <f>SUM(H10:H10)</f>
        <v>0</v>
      </c>
      <c r="I11" s="12" t="s">
        <v>95</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b6Hbki/SpYYm2/o3yhJFBPtPgBOrrj16T6xMPIpSGVsSPaGbpUI7NS6X881KvY6yVw+mGtPbnXiUSnFRBK8EGA==" saltValue="dHXZHfHQTUaqwLBIMKv14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115</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1" t="s">
        <v>17</v>
      </c>
      <c r="C9" s="83" t="s">
        <v>11</v>
      </c>
      <c r="D9" s="82"/>
      <c r="E9" s="83" t="s">
        <v>27</v>
      </c>
      <c r="F9" s="32"/>
      <c r="G9" s="1"/>
    </row>
    <row r="10" spans="1:7" x14ac:dyDescent="0.25">
      <c r="A10" s="1"/>
      <c r="B10" s="24" t="s">
        <v>88</v>
      </c>
      <c r="C10" s="21">
        <f>'Fane 10. Anlægsprojekter (§ 19)'!H11</f>
        <v>0</v>
      </c>
      <c r="D10" s="14" t="s">
        <v>3</v>
      </c>
      <c r="E10" s="9">
        <f>'Fane 10. Anlægsprojekter (§ 19)'!F11+'Fane 10. Anlægsprojekter (§ 19)'!J11</f>
        <v>0</v>
      </c>
      <c r="F10" s="14" t="s">
        <v>3</v>
      </c>
      <c r="G10" s="1"/>
    </row>
    <row r="11" spans="1:7" x14ac:dyDescent="0.25">
      <c r="A11" s="1"/>
      <c r="B11" s="24" t="s">
        <v>238</v>
      </c>
      <c r="C11" s="21">
        <v>0</v>
      </c>
      <c r="D11" s="14" t="s">
        <v>3</v>
      </c>
      <c r="E11" s="9">
        <v>614393</v>
      </c>
      <c r="F11" s="14" t="s">
        <v>3</v>
      </c>
      <c r="G11" s="1"/>
    </row>
    <row r="12" spans="1:7" x14ac:dyDescent="0.25">
      <c r="A12" s="1"/>
      <c r="B12" s="24" t="s">
        <v>239</v>
      </c>
      <c r="C12" s="21">
        <v>2179096</v>
      </c>
      <c r="D12" s="14" t="s">
        <v>3</v>
      </c>
      <c r="E12" s="9">
        <v>0</v>
      </c>
      <c r="F12" s="14" t="s">
        <v>3</v>
      </c>
      <c r="G12" s="1"/>
    </row>
    <row r="13" spans="1:7" x14ac:dyDescent="0.25">
      <c r="A13" s="1"/>
      <c r="B13" s="24" t="s">
        <v>240</v>
      </c>
      <c r="C13" s="21">
        <v>0</v>
      </c>
      <c r="D13" s="14" t="s">
        <v>3</v>
      </c>
      <c r="E13" s="9">
        <v>20741</v>
      </c>
      <c r="F13" s="14" t="s">
        <v>3</v>
      </c>
      <c r="G13" s="1"/>
    </row>
    <row r="14" spans="1:7" x14ac:dyDescent="0.25">
      <c r="A14" s="1"/>
      <c r="B14" s="24" t="s">
        <v>241</v>
      </c>
      <c r="C14" s="21">
        <v>35336</v>
      </c>
      <c r="D14" s="14" t="s">
        <v>3</v>
      </c>
      <c r="E14" s="9">
        <v>2172322</v>
      </c>
      <c r="F14" s="14" t="s">
        <v>3</v>
      </c>
      <c r="G14" s="1"/>
    </row>
    <row r="15" spans="1:7" x14ac:dyDescent="0.25">
      <c r="A15" s="1"/>
      <c r="B15" s="24" t="s">
        <v>242</v>
      </c>
      <c r="C15" s="21">
        <v>0</v>
      </c>
      <c r="D15" s="14" t="s">
        <v>3</v>
      </c>
      <c r="E15" s="9">
        <v>18360</v>
      </c>
      <c r="F15" s="14" t="s">
        <v>3</v>
      </c>
      <c r="G15" s="1"/>
    </row>
    <row r="16" spans="1:7" x14ac:dyDescent="0.25">
      <c r="A16" s="1"/>
      <c r="B16" s="24" t="s">
        <v>243</v>
      </c>
      <c r="C16" s="21">
        <v>385794</v>
      </c>
      <c r="D16" s="14" t="s">
        <v>3</v>
      </c>
      <c r="E16" s="9">
        <v>1770208</v>
      </c>
      <c r="F16" s="14" t="s">
        <v>3</v>
      </c>
      <c r="G16" s="1"/>
    </row>
    <row r="17" spans="1:7" ht="26.25" x14ac:dyDescent="0.25">
      <c r="A17" s="1"/>
      <c r="B17" s="71" t="s">
        <v>245</v>
      </c>
      <c r="C17" s="21">
        <v>207417</v>
      </c>
      <c r="D17" s="14" t="s">
        <v>3</v>
      </c>
      <c r="E17" s="9">
        <v>0</v>
      </c>
      <c r="F17" s="14" t="s">
        <v>3</v>
      </c>
      <c r="G17" s="1"/>
    </row>
    <row r="18" spans="1:7" x14ac:dyDescent="0.25">
      <c r="A18" s="1"/>
      <c r="B18" s="24"/>
      <c r="C18" s="21"/>
      <c r="D18" s="14" t="s">
        <v>3</v>
      </c>
      <c r="E18" s="9"/>
      <c r="F18" s="14" t="s">
        <v>3</v>
      </c>
      <c r="G18" s="1"/>
    </row>
    <row r="19" spans="1:7" x14ac:dyDescent="0.25">
      <c r="A19" s="1"/>
      <c r="B19" s="33" t="s">
        <v>140</v>
      </c>
      <c r="C19" s="12">
        <f>SUM(C10:C18)</f>
        <v>2807643</v>
      </c>
      <c r="D19" s="13" t="s">
        <v>3</v>
      </c>
      <c r="E19" s="12">
        <f>SUM(E10:E18)</f>
        <v>4596024</v>
      </c>
      <c r="F19" s="13" t="s">
        <v>3</v>
      </c>
      <c r="G19" s="1"/>
    </row>
    <row r="20" spans="1:7" x14ac:dyDescent="0.25">
      <c r="A20" s="1"/>
      <c r="B20" s="33" t="s">
        <v>176</v>
      </c>
      <c r="C20" s="12">
        <f>C19*(1+'Fane 15. Nøgletal'!C10)</f>
        <v>2993789.7308999998</v>
      </c>
      <c r="D20" s="13" t="s">
        <v>3</v>
      </c>
      <c r="E20" s="12">
        <f>E19*(1+'Fane 15. Nøgletal'!C10)</f>
        <v>4900740.3912000004</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AJr+olSNq9WeoaeO6kGMimx3v9mtBndf/E49l8XymiIZFIpBifqhhyqVq7kRV5qCLiUyJnxBf/qZydA2qVvTPw==" saltValue="CwCPqVgvrfACWtwwEIgmc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116</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2" t="s">
        <v>177</v>
      </c>
      <c r="C8" s="113"/>
      <c r="D8" s="113"/>
      <c r="E8" s="113"/>
      <c r="F8" s="114"/>
      <c r="G8" s="1"/>
    </row>
    <row r="9" spans="1:7" x14ac:dyDescent="0.25">
      <c r="A9" s="1"/>
      <c r="B9" s="81" t="s">
        <v>17</v>
      </c>
      <c r="C9" s="83" t="s">
        <v>11</v>
      </c>
      <c r="D9" s="82"/>
      <c r="E9" s="83" t="s">
        <v>27</v>
      </c>
      <c r="F9" s="32"/>
      <c r="G9" s="1"/>
    </row>
    <row r="10" spans="1:7" x14ac:dyDescent="0.25">
      <c r="A10" s="1"/>
      <c r="B10" s="24" t="s">
        <v>240</v>
      </c>
      <c r="C10" s="21">
        <v>443251</v>
      </c>
      <c r="D10" s="14" t="s">
        <v>3</v>
      </c>
      <c r="E10" s="9">
        <v>0</v>
      </c>
      <c r="F10" s="14" t="s">
        <v>3</v>
      </c>
      <c r="G10" s="1"/>
    </row>
    <row r="11" spans="1:7" x14ac:dyDescent="0.25">
      <c r="A11" s="1"/>
      <c r="B11" s="24" t="s">
        <v>244</v>
      </c>
      <c r="C11" s="21">
        <v>2447295</v>
      </c>
      <c r="D11" s="14" t="s">
        <v>3</v>
      </c>
      <c r="E11" s="9">
        <v>0</v>
      </c>
      <c r="F11" s="14" t="s">
        <v>3</v>
      </c>
      <c r="G11" s="1"/>
    </row>
    <row r="12" spans="1:7" ht="26.25" x14ac:dyDescent="0.25">
      <c r="A12" s="1"/>
      <c r="B12" s="71" t="s">
        <v>245</v>
      </c>
      <c r="C12" s="21">
        <v>2074173</v>
      </c>
      <c r="D12" s="14" t="s">
        <v>3</v>
      </c>
      <c r="E12" s="9">
        <v>0</v>
      </c>
      <c r="F12" s="14" t="s">
        <v>3</v>
      </c>
      <c r="G12" s="1"/>
    </row>
    <row r="13" spans="1:7" x14ac:dyDescent="0.25">
      <c r="A13" s="1"/>
      <c r="B13" s="33" t="s">
        <v>178</v>
      </c>
      <c r="C13" s="12">
        <f>SUM(C10:C12)</f>
        <v>4964719</v>
      </c>
      <c r="D13" s="13" t="s">
        <v>3</v>
      </c>
      <c r="E13" s="12">
        <f>SUM(E10:E12)</f>
        <v>0</v>
      </c>
      <c r="F13" s="13" t="s">
        <v>3</v>
      </c>
      <c r="G13" s="1"/>
    </row>
    <row r="14" spans="1:7" x14ac:dyDescent="0.25">
      <c r="A14" s="1"/>
      <c r="B14" s="33" t="s">
        <v>179</v>
      </c>
      <c r="C14" s="12">
        <f>C13*(1+'Fane 15. Nøgletal'!C10)^2</f>
        <v>5644864.1050611101</v>
      </c>
      <c r="D14" s="13" t="s">
        <v>3</v>
      </c>
      <c r="E14" s="12">
        <f>E13*(1+'Fane 15. Nøgletal'!C10)^2</f>
        <v>0</v>
      </c>
      <c r="F14" s="13" t="s">
        <v>3</v>
      </c>
      <c r="G14" s="1"/>
    </row>
    <row r="15" spans="1:7" x14ac:dyDescent="0.25">
      <c r="A15" s="1"/>
      <c r="B15" s="1"/>
      <c r="C15" s="1"/>
      <c r="D15" s="1"/>
      <c r="E15" s="1"/>
      <c r="F15" s="1"/>
      <c r="G15" s="1"/>
    </row>
    <row r="16" spans="1:7" x14ac:dyDescent="0.25">
      <c r="A16" s="1"/>
      <c r="B16" s="131"/>
      <c r="C16" s="131"/>
      <c r="D16" s="131"/>
      <c r="E16" s="131"/>
      <c r="F16" s="131"/>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31"/>
      <c r="C29" s="131"/>
      <c r="D29" s="131"/>
      <c r="E29" s="131"/>
      <c r="F29" s="131"/>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CTHEExRJ9z61JacqkBErjD54+C7v0J9anw6/iD22IH1QpKsMCo4OkGKCUmdeiD9XPYcujwbAg9wgrWZ2fGV7g==" saltValue="qzn4EhZfVum4AX6TksN3u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117</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ht="14.25" customHeight="1" x14ac:dyDescent="0.25">
      <c r="A8" s="1"/>
      <c r="B8" s="112" t="s">
        <v>74</v>
      </c>
      <c r="C8" s="113"/>
      <c r="D8" s="114"/>
      <c r="E8" s="1"/>
    </row>
    <row r="9" spans="1:5" x14ac:dyDescent="0.25">
      <c r="A9" s="1"/>
      <c r="B9" s="69" t="s">
        <v>180</v>
      </c>
      <c r="C9" s="9"/>
      <c r="D9" s="14" t="s">
        <v>3</v>
      </c>
      <c r="E9" s="1"/>
    </row>
    <row r="10" spans="1:5" x14ac:dyDescent="0.25">
      <c r="A10" s="1"/>
      <c r="B10" s="65" t="s">
        <v>10</v>
      </c>
      <c r="C10" s="9">
        <f>-C9*'Fane 5. Individuelt eff. krav'!C9</f>
        <v>0</v>
      </c>
      <c r="D10" s="14" t="s">
        <v>3</v>
      </c>
      <c r="E10" s="1"/>
    </row>
    <row r="11" spans="1:5" x14ac:dyDescent="0.25">
      <c r="A11" s="1"/>
      <c r="B11" s="65" t="s">
        <v>22</v>
      </c>
      <c r="C11" s="9">
        <f>-C9*'Fane 15. Nøgletal'!C21</f>
        <v>0</v>
      </c>
      <c r="D11" s="14" t="s">
        <v>3</v>
      </c>
      <c r="E11" s="1"/>
    </row>
    <row r="12" spans="1:5" x14ac:dyDescent="0.25">
      <c r="A12" s="1"/>
      <c r="B12" s="77" t="s">
        <v>75</v>
      </c>
      <c r="C12" s="12">
        <f>SUM(C9:C11)*(1+'Fane 15. Nøgletal'!C9)^2</f>
        <v>0</v>
      </c>
      <c r="D12" s="13" t="s">
        <v>3</v>
      </c>
      <c r="E12" s="1"/>
    </row>
    <row r="13" spans="1:5" x14ac:dyDescent="0.25">
      <c r="A13" s="1"/>
      <c r="B13" s="1"/>
      <c r="C13" s="1"/>
      <c r="D13" s="1"/>
      <c r="E13" s="1"/>
    </row>
    <row r="14" spans="1:5" ht="15" customHeight="1" x14ac:dyDescent="0.25">
      <c r="A14" s="1"/>
      <c r="B14" s="112" t="s">
        <v>85</v>
      </c>
      <c r="C14" s="113"/>
      <c r="D14" s="114"/>
      <c r="E14" s="1"/>
    </row>
    <row r="15" spans="1:5" x14ac:dyDescent="0.25">
      <c r="A15" s="1"/>
      <c r="B15" s="69" t="s">
        <v>180</v>
      </c>
      <c r="C15" s="9"/>
      <c r="D15" s="14" t="s">
        <v>3</v>
      </c>
      <c r="E15" s="1"/>
    </row>
    <row r="16" spans="1:5" x14ac:dyDescent="0.25">
      <c r="A16" s="1"/>
      <c r="B16" s="65" t="s">
        <v>10</v>
      </c>
      <c r="C16" s="9">
        <f>-C15*'Fane 5. Individuelt eff. krav'!C9</f>
        <v>0</v>
      </c>
      <c r="D16" s="14" t="s">
        <v>3</v>
      </c>
      <c r="E16" s="1"/>
    </row>
    <row r="17" spans="1:5" x14ac:dyDescent="0.25">
      <c r="A17" s="1"/>
      <c r="B17" s="65" t="s">
        <v>22</v>
      </c>
      <c r="C17" s="9">
        <f>-C15*'Fane 15. Nøgletal'!C21</f>
        <v>0</v>
      </c>
      <c r="D17" s="14" t="s">
        <v>3</v>
      </c>
      <c r="E17" s="1"/>
    </row>
    <row r="18" spans="1:5" x14ac:dyDescent="0.25">
      <c r="A18" s="1"/>
      <c r="B18" s="77" t="s">
        <v>86</v>
      </c>
      <c r="C18" s="12">
        <f>SUM(C15:C17)*(1+'Fane 15. Nøgletal'!C10)^3</f>
        <v>0</v>
      </c>
      <c r="D18" s="13" t="s">
        <v>3</v>
      </c>
      <c r="E18" s="1"/>
    </row>
    <row r="19" spans="1:5" x14ac:dyDescent="0.25">
      <c r="A19" s="1"/>
      <c r="B19" s="1"/>
      <c r="C19" s="1"/>
      <c r="D19" s="1"/>
      <c r="E19" s="1"/>
    </row>
    <row r="20" spans="1:5" ht="15" customHeight="1" x14ac:dyDescent="0.25">
      <c r="A20" s="1"/>
      <c r="B20" s="112" t="s">
        <v>141</v>
      </c>
      <c r="C20" s="113"/>
      <c r="D20" s="114"/>
      <c r="E20" s="1"/>
    </row>
    <row r="21" spans="1:5" x14ac:dyDescent="0.25">
      <c r="A21" s="1"/>
      <c r="B21" s="69" t="s">
        <v>180</v>
      </c>
      <c r="C21" s="9"/>
      <c r="D21" s="14" t="s">
        <v>3</v>
      </c>
      <c r="E21" s="1"/>
    </row>
    <row r="22" spans="1:5" x14ac:dyDescent="0.25">
      <c r="A22" s="1"/>
      <c r="B22" s="65" t="s">
        <v>10</v>
      </c>
      <c r="C22" s="9">
        <f>-C21*'Fane 5. Individuelt eff. krav'!C9</f>
        <v>0</v>
      </c>
      <c r="D22" s="14" t="s">
        <v>3</v>
      </c>
      <c r="E22" s="1"/>
    </row>
    <row r="23" spans="1:5" x14ac:dyDescent="0.25">
      <c r="A23" s="1"/>
      <c r="B23" s="65" t="s">
        <v>22</v>
      </c>
      <c r="C23" s="9">
        <f>-C21*'Fane 15. Nøgletal'!C21</f>
        <v>0</v>
      </c>
      <c r="D23" s="14" t="s">
        <v>3</v>
      </c>
      <c r="E23" s="1"/>
    </row>
    <row r="24" spans="1:5" x14ac:dyDescent="0.25">
      <c r="A24" s="1"/>
      <c r="B24" s="77" t="s">
        <v>142</v>
      </c>
      <c r="C24" s="12">
        <f>SUM(C21:C23)*(1+'Fane 15. Nøgletal'!C10)^4</f>
        <v>0</v>
      </c>
      <c r="D24" s="13" t="s">
        <v>3</v>
      </c>
      <c r="E24" s="1"/>
    </row>
    <row r="25" spans="1:5" x14ac:dyDescent="0.25">
      <c r="A25" s="1"/>
      <c r="B25" s="1"/>
      <c r="C25" s="1"/>
      <c r="D25" s="1"/>
      <c r="E25" s="1"/>
    </row>
    <row r="26" spans="1:5" ht="15" customHeight="1" x14ac:dyDescent="0.25">
      <c r="A26" s="1"/>
      <c r="B26" s="112" t="s">
        <v>181</v>
      </c>
      <c r="C26" s="113"/>
      <c r="D26" s="114"/>
      <c r="E26" s="1"/>
    </row>
    <row r="27" spans="1:5" ht="14.25" customHeight="1" x14ac:dyDescent="0.25">
      <c r="A27" s="1"/>
      <c r="B27" s="69" t="s">
        <v>180</v>
      </c>
      <c r="C27" s="9"/>
      <c r="D27" s="14" t="s">
        <v>3</v>
      </c>
      <c r="E27" s="1"/>
    </row>
    <row r="28" spans="1:5" x14ac:dyDescent="0.25">
      <c r="A28" s="1"/>
      <c r="B28" s="65" t="s">
        <v>10</v>
      </c>
      <c r="C28" s="9">
        <f>-C27*'Fane 5. Individuelt eff. krav'!C9</f>
        <v>0</v>
      </c>
      <c r="D28" s="14" t="s">
        <v>3</v>
      </c>
      <c r="E28" s="1"/>
    </row>
    <row r="29" spans="1:5" x14ac:dyDescent="0.25">
      <c r="A29" s="1"/>
      <c r="B29" s="65" t="s">
        <v>22</v>
      </c>
      <c r="C29" s="9">
        <f>-C27*'Fane 15. Nøgletal'!C21</f>
        <v>0</v>
      </c>
      <c r="D29" s="14" t="s">
        <v>3</v>
      </c>
      <c r="E29" s="1"/>
    </row>
    <row r="30" spans="1:5" x14ac:dyDescent="0.25">
      <c r="A30" s="1"/>
      <c r="B30" s="77" t="s">
        <v>182</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1yXT1hq7xR5iAMM9+0mVFtXT4owDjhha/osT5XdVDkAfE1mbmpIjFKLRcgoayZhJ/wuD+2O4dF5+qryAM3v9xg==" saltValue="0O8M5axSVwdLmb6zJl9m7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118</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x14ac:dyDescent="0.25">
      <c r="A8" s="1"/>
      <c r="B8" s="112" t="s">
        <v>67</v>
      </c>
      <c r="C8" s="113"/>
      <c r="D8" s="113"/>
      <c r="E8" s="113"/>
      <c r="F8" s="114"/>
      <c r="G8" s="1"/>
    </row>
    <row r="9" spans="1:7" ht="15" customHeight="1" x14ac:dyDescent="0.25">
      <c r="A9" s="1"/>
      <c r="B9" s="31" t="s">
        <v>68</v>
      </c>
      <c r="C9" s="27" t="s">
        <v>11</v>
      </c>
      <c r="D9" s="32"/>
      <c r="E9" s="27" t="s">
        <v>27</v>
      </c>
      <c r="F9" s="32"/>
      <c r="G9" s="1"/>
    </row>
    <row r="10" spans="1:7" ht="26.25" x14ac:dyDescent="0.25">
      <c r="A10" s="1"/>
      <c r="B10" s="71" t="s">
        <v>223</v>
      </c>
      <c r="C10" s="9">
        <v>0</v>
      </c>
      <c r="D10" s="14" t="s">
        <v>3</v>
      </c>
      <c r="E10" s="9">
        <v>0</v>
      </c>
      <c r="F10" s="14" t="s">
        <v>3</v>
      </c>
      <c r="G10" s="1"/>
    </row>
    <row r="11" spans="1:7" ht="28.5" customHeight="1" x14ac:dyDescent="0.25">
      <c r="A11" s="1"/>
      <c r="B11" s="20" t="s">
        <v>143</v>
      </c>
      <c r="C11" s="12">
        <f>SUM(C10:C10)</f>
        <v>0</v>
      </c>
      <c r="D11" s="13" t="s">
        <v>3</v>
      </c>
      <c r="E11" s="12">
        <f>SUM(E10:E10)</f>
        <v>0</v>
      </c>
      <c r="F11" s="13" t="s">
        <v>3</v>
      </c>
      <c r="G11" s="1"/>
    </row>
    <row r="12" spans="1:7" ht="27" customHeight="1" x14ac:dyDescent="0.25">
      <c r="A12" s="1"/>
      <c r="B12" s="20" t="s">
        <v>183</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Vg/sRZFxvXc5uOsjHuTnnOy7oq/X8pmoBWUZ4QU+B8PynNoy5uwMlvakzJ65D0UlB09ulVeNMqoCQEuJzsYenQ==" saltValue="O7SNXD6KVL/KlO9eRgBwm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119</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2" t="s">
        <v>184</v>
      </c>
      <c r="C8" s="113"/>
      <c r="D8" s="113"/>
      <c r="E8" s="113"/>
      <c r="F8" s="114"/>
      <c r="G8" s="1"/>
    </row>
    <row r="9" spans="1:7" x14ac:dyDescent="0.25">
      <c r="A9" s="1"/>
      <c r="B9" s="31" t="s">
        <v>18</v>
      </c>
      <c r="C9" s="132" t="s">
        <v>11</v>
      </c>
      <c r="D9" s="133"/>
      <c r="E9" s="132" t="s">
        <v>27</v>
      </c>
      <c r="F9" s="133"/>
      <c r="G9" s="1"/>
    </row>
    <row r="10" spans="1:7" x14ac:dyDescent="0.25">
      <c r="A10" s="1"/>
      <c r="B10" s="71" t="s">
        <v>224</v>
      </c>
      <c r="C10" s="9">
        <v>0</v>
      </c>
      <c r="D10" s="14" t="s">
        <v>3</v>
      </c>
      <c r="E10" s="9">
        <v>0</v>
      </c>
      <c r="F10" s="14" t="s">
        <v>3</v>
      </c>
      <c r="G10" s="1"/>
    </row>
    <row r="11" spans="1:7" x14ac:dyDescent="0.25">
      <c r="A11" s="1"/>
      <c r="B11" s="33" t="s">
        <v>144</v>
      </c>
      <c r="C11" s="12">
        <f>SUM(C10:C10)</f>
        <v>0</v>
      </c>
      <c r="D11" s="13" t="s">
        <v>3</v>
      </c>
      <c r="E11" s="12">
        <f>SUM(E10:E10)</f>
        <v>0</v>
      </c>
      <c r="F11" s="13" t="s">
        <v>3</v>
      </c>
      <c r="G11" s="1"/>
    </row>
    <row r="12" spans="1:7" x14ac:dyDescent="0.25">
      <c r="A12" s="1"/>
      <c r="B12" s="33" t="s">
        <v>217</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31"/>
      <c r="C14" s="131"/>
      <c r="D14" s="131"/>
      <c r="E14" s="131"/>
      <c r="F14" s="131"/>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31"/>
      <c r="C21" s="131"/>
      <c r="D21" s="131"/>
      <c r="E21" s="131"/>
      <c r="F21" s="131"/>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31"/>
      <c r="C27" s="131"/>
      <c r="D27" s="131"/>
      <c r="E27" s="131"/>
      <c r="F27" s="131"/>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obAKl30Hy3zPnpjlXsCs2eWg5bXbHKTaUXjO8sehMeOFw72dxWinOq5bwJb9FOCJtjD4H6CDbnuGKvQykBkW+w==" saltValue="YVt/JMTjqMykJ0kkrFKbF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156</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91</v>
      </c>
      <c r="C9" s="7">
        <f>'Fane 3. Omkostninger i ØR2024'!C20</f>
        <v>111403440.61379951</v>
      </c>
      <c r="D9" s="8" t="s">
        <v>3</v>
      </c>
      <c r="E9" s="1"/>
    </row>
    <row r="10" spans="1:5" ht="17.25" customHeight="1" x14ac:dyDescent="0.25">
      <c r="A10" s="1"/>
      <c r="B10" s="65" t="s">
        <v>35</v>
      </c>
      <c r="C10" s="7">
        <f>'Fane 11.1. Varige tillæg'!C20</f>
        <v>2993789.7308999998</v>
      </c>
      <c r="D10" s="8" t="s">
        <v>3</v>
      </c>
      <c r="E10" s="1"/>
    </row>
    <row r="11" spans="1:5" ht="17.25" customHeight="1" x14ac:dyDescent="0.25">
      <c r="A11" s="1"/>
      <c r="B11" s="65" t="s">
        <v>36</v>
      </c>
      <c r="C11" s="9">
        <f>'Fane 11.1. Varige tillæg'!E20</f>
        <v>4900740.3912000004</v>
      </c>
      <c r="D11" s="8" t="s">
        <v>3</v>
      </c>
      <c r="E11" s="1"/>
    </row>
    <row r="12" spans="1:5" ht="17.25" customHeight="1" x14ac:dyDescent="0.25">
      <c r="A12" s="1"/>
      <c r="B12" s="65" t="s">
        <v>25</v>
      </c>
      <c r="C12" s="9">
        <f>-'Fane 14. Bortfald'!C12</f>
        <v>0</v>
      </c>
      <c r="D12" s="8" t="s">
        <v>3</v>
      </c>
      <c r="E12" s="1"/>
    </row>
    <row r="13" spans="1:5" ht="17.25" customHeight="1" x14ac:dyDescent="0.25">
      <c r="A13" s="1"/>
      <c r="B13" s="65" t="s">
        <v>24</v>
      </c>
      <c r="C13" s="9">
        <f>-'Fane 14. Bortfald'!E12</f>
        <v>0</v>
      </c>
      <c r="D13" s="8" t="s">
        <v>3</v>
      </c>
      <c r="E13" s="1"/>
    </row>
    <row r="14" spans="1:5" ht="17.25" customHeight="1" x14ac:dyDescent="0.25">
      <c r="A14" s="1"/>
      <c r="B14" s="65" t="s">
        <v>63</v>
      </c>
      <c r="C14" s="9">
        <f>'Fane 13. Tilknyttet virksomhed'!C12</f>
        <v>0</v>
      </c>
      <c r="D14" s="8" t="s">
        <v>3</v>
      </c>
      <c r="E14" s="1"/>
    </row>
    <row r="15" spans="1:5" ht="17.25" customHeight="1" x14ac:dyDescent="0.25">
      <c r="A15" s="1"/>
      <c r="B15" s="65" t="s">
        <v>64</v>
      </c>
      <c r="C15" s="9">
        <f>'Fane 13. Tilknyttet virksomhed'!E12</f>
        <v>0</v>
      </c>
      <c r="D15" s="8" t="s">
        <v>3</v>
      </c>
      <c r="E15" s="1"/>
    </row>
    <row r="16" spans="1:5" ht="17.25" customHeight="1" x14ac:dyDescent="0.25">
      <c r="A16" s="1"/>
      <c r="B16" s="65" t="s">
        <v>19</v>
      </c>
      <c r="C16" s="38">
        <f>SUM(C9)*'Fane 15. Nøgletal'!C9+SUM(C10:C11,C14:C15)*'Fane 15. Nøgletal'!C10</f>
        <v>9524805.3486902304</v>
      </c>
      <c r="D16" s="8" t="s">
        <v>3</v>
      </c>
      <c r="E16" s="1"/>
    </row>
    <row r="17" spans="1:5" ht="17.25" customHeight="1" x14ac:dyDescent="0.25">
      <c r="A17" s="1"/>
      <c r="B17" s="65" t="s">
        <v>10</v>
      </c>
      <c r="C17" s="38">
        <f>-SUM(C9,C10:C16)*'Fane 5. Individuelt eff. krav'!C9</f>
        <v>-2159696.4262609384</v>
      </c>
      <c r="D17" s="8" t="s">
        <v>3</v>
      </c>
      <c r="E17" s="1"/>
    </row>
    <row r="18" spans="1:5" ht="17.25" customHeight="1" x14ac:dyDescent="0.25">
      <c r="A18" s="1"/>
      <c r="B18" s="65" t="s">
        <v>22</v>
      </c>
      <c r="C18" s="38">
        <f>-'Fane 4.1. Gen. krav - drift'!C17</f>
        <v>-759575.34228614683</v>
      </c>
      <c r="D18" s="8" t="s">
        <v>3</v>
      </c>
      <c r="E18" s="1"/>
    </row>
    <row r="19" spans="1:5" ht="17.25" customHeight="1" x14ac:dyDescent="0.25">
      <c r="A19" s="1"/>
      <c r="B19" s="65" t="s">
        <v>23</v>
      </c>
      <c r="C19" s="38">
        <f>-'Fane 4.2. Gen. krav - anlæg'!C17</f>
        <v>0</v>
      </c>
      <c r="D19" s="8" t="s">
        <v>3</v>
      </c>
      <c r="E19" s="43"/>
    </row>
    <row r="20" spans="1:5" ht="17.25" customHeight="1" x14ac:dyDescent="0.25">
      <c r="A20" s="1"/>
      <c r="B20" s="83" t="s">
        <v>21</v>
      </c>
      <c r="C20" s="10">
        <f>SUM(C9:C19)</f>
        <v>125903504.31604268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omk.'!C20+'Fane 6. Ikke-påvirkelige omk.'!C24+'Fane 6. Ikke-påvirkelige omk.'!C32</f>
        <v>5853364.70875281</v>
      </c>
      <c r="D22" s="11" t="s">
        <v>3</v>
      </c>
      <c r="E22" s="1"/>
    </row>
    <row r="23" spans="1:5" ht="15" customHeight="1" x14ac:dyDescent="0.25">
      <c r="A23" s="1"/>
      <c r="B23" s="33" t="s">
        <v>43</v>
      </c>
      <c r="C23" s="28"/>
      <c r="D23" s="19"/>
      <c r="E23" s="1"/>
    </row>
    <row r="24" spans="1:5" ht="15" customHeight="1" x14ac:dyDescent="0.25">
      <c r="A24" s="1"/>
      <c r="B24" s="83" t="s">
        <v>43</v>
      </c>
      <c r="C24" s="10">
        <f>'Fane 12. Periodevise driftsomk.'!C12</f>
        <v>0</v>
      </c>
      <c r="D24" s="11" t="s">
        <v>3</v>
      </c>
      <c r="E24" s="1"/>
    </row>
    <row r="25" spans="1:5" ht="15" customHeight="1" x14ac:dyDescent="0.25">
      <c r="A25" s="1"/>
      <c r="B25" s="41" t="s">
        <v>42</v>
      </c>
      <c r="C25" s="39"/>
      <c r="D25" s="40"/>
      <c r="E25" s="1"/>
    </row>
    <row r="26" spans="1:5" ht="15" customHeight="1" x14ac:dyDescent="0.25">
      <c r="A26" s="1"/>
      <c r="B26" s="65" t="s">
        <v>90</v>
      </c>
      <c r="C26" s="38">
        <f>'Fane 11.2. Engangstillæg'!C14</f>
        <v>5644864.1050611101</v>
      </c>
      <c r="D26" s="8" t="s">
        <v>3</v>
      </c>
      <c r="E26" s="1"/>
    </row>
    <row r="27" spans="1:5" ht="15" customHeight="1" x14ac:dyDescent="0.25">
      <c r="A27" s="1"/>
      <c r="B27" s="65" t="s">
        <v>39</v>
      </c>
      <c r="C27" s="38">
        <f>'Fane 11.2. Engangstillæg'!E14</f>
        <v>0</v>
      </c>
      <c r="D27" s="8" t="s">
        <v>3</v>
      </c>
      <c r="E27" s="1"/>
    </row>
    <row r="28" spans="1:5" ht="15" customHeight="1" x14ac:dyDescent="0.25">
      <c r="A28" s="1"/>
      <c r="B28" s="65" t="s">
        <v>93</v>
      </c>
      <c r="C28" s="38">
        <f>-C26*('Fane 15. Nøgletal'!C21+'Fane 5. Individuelt eff. krav'!C9)</f>
        <v>-207532.66572642795</v>
      </c>
      <c r="D28" s="8" t="s">
        <v>3</v>
      </c>
      <c r="E28" s="1"/>
    </row>
    <row r="29" spans="1:5" ht="15" customHeight="1" x14ac:dyDescent="0.25">
      <c r="A29" s="1"/>
      <c r="B29" s="65" t="s">
        <v>94</v>
      </c>
      <c r="C29" s="38">
        <f>-C27*('Fane 15. Nøgletal'!C16+'Fane 5. Individuelt eff. krav'!C9)</f>
        <v>0</v>
      </c>
      <c r="D29" s="8" t="s">
        <v>3</v>
      </c>
      <c r="E29" s="1"/>
    </row>
    <row r="30" spans="1:5" ht="15" customHeight="1" x14ac:dyDescent="0.25">
      <c r="A30" s="1"/>
      <c r="B30" s="68" t="s">
        <v>44</v>
      </c>
      <c r="C30" s="10">
        <f>SUM(C26:C29)</f>
        <v>5437331.4393346822</v>
      </c>
      <c r="D30" s="11" t="s">
        <v>3</v>
      </c>
      <c r="E30" s="1"/>
    </row>
    <row r="31" spans="1:5" x14ac:dyDescent="0.25">
      <c r="A31" s="1"/>
      <c r="B31" s="33" t="s">
        <v>70</v>
      </c>
      <c r="C31" s="28"/>
      <c r="D31" s="19"/>
      <c r="E31" s="1"/>
    </row>
    <row r="32" spans="1:5" x14ac:dyDescent="0.25">
      <c r="A32" s="1"/>
      <c r="B32" s="31" t="s">
        <v>80</v>
      </c>
      <c r="C32" s="62">
        <f>'Fane 7. Kontrol af ØR2023'!C27</f>
        <v>0</v>
      </c>
      <c r="D32" s="11" t="s">
        <v>3</v>
      </c>
      <c r="E32" s="1"/>
    </row>
    <row r="33" spans="1:5" ht="15" customHeight="1" x14ac:dyDescent="0.25">
      <c r="A33" s="1"/>
      <c r="B33" s="33" t="s">
        <v>155</v>
      </c>
      <c r="C33" s="28"/>
      <c r="D33" s="19"/>
      <c r="E33" s="1"/>
    </row>
    <row r="34" spans="1:5" x14ac:dyDescent="0.25">
      <c r="A34" s="1"/>
      <c r="B34" s="31" t="s">
        <v>155</v>
      </c>
      <c r="C34" s="10">
        <f>'Fane 9. Korrektion af ØR2023'!C16</f>
        <v>-65320</v>
      </c>
      <c r="D34" s="11" t="s">
        <v>3</v>
      </c>
      <c r="E34" s="1"/>
    </row>
    <row r="35" spans="1:5" x14ac:dyDescent="0.25">
      <c r="A35" s="1"/>
      <c r="B35" s="30" t="s">
        <v>76</v>
      </c>
      <c r="C35" s="28"/>
      <c r="D35" s="19"/>
      <c r="E35" s="1"/>
    </row>
    <row r="36" spans="1:5" x14ac:dyDescent="0.25">
      <c r="A36" s="1"/>
      <c r="B36" s="68" t="s">
        <v>77</v>
      </c>
      <c r="C36" s="10">
        <f>'Fane 8. Skattesagen'!C14</f>
        <v>0</v>
      </c>
      <c r="D36" s="11" t="s">
        <v>3</v>
      </c>
      <c r="E36" s="1"/>
    </row>
    <row r="37" spans="1:5" x14ac:dyDescent="0.25">
      <c r="A37" s="1"/>
      <c r="B37" s="33" t="s">
        <v>72</v>
      </c>
      <c r="C37" s="45">
        <f>SUM(C34,C32,C24,C30,C22,C20,C36)</f>
        <v>137128880.46413016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0l2EQY+0psuAn+dhUnP6BMRTJMPZEd4cvmAQKdve9aBqou4aOpj+Tl+mpOd4t5QW3t/RESaJ7qaw582q3UE61A==" saltValue="EbkAIJw78jCTpB2BFRycH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11" t="s">
        <v>120</v>
      </c>
      <c r="C3" s="111"/>
      <c r="D3" s="1"/>
    </row>
    <row r="4" spans="1:4" ht="15" customHeight="1" x14ac:dyDescent="0.25">
      <c r="A4" s="1"/>
      <c r="B4" s="111"/>
      <c r="C4" s="111"/>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123</v>
      </c>
      <c r="C9" s="61">
        <v>8.0799999999999997E-2</v>
      </c>
      <c r="D9" s="1"/>
    </row>
    <row r="10" spans="1:4" x14ac:dyDescent="0.25">
      <c r="A10" s="1"/>
      <c r="B10" s="59" t="s">
        <v>229</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51</v>
      </c>
      <c r="C14" s="19"/>
      <c r="D14" s="1"/>
    </row>
    <row r="15" spans="1:4" x14ac:dyDescent="0.25">
      <c r="A15" s="1"/>
      <c r="B15" s="59" t="s">
        <v>216</v>
      </c>
      <c r="C15" s="60">
        <v>0</v>
      </c>
      <c r="D15" s="1"/>
    </row>
    <row r="16" spans="1:4" x14ac:dyDescent="0.25">
      <c r="A16" s="1"/>
      <c r="B16" s="59" t="s">
        <v>230</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52</v>
      </c>
      <c r="C20" s="19"/>
      <c r="D20" s="1"/>
    </row>
    <row r="21" spans="1:4" x14ac:dyDescent="0.25">
      <c r="A21" s="1"/>
      <c r="B21" s="37" t="s">
        <v>60</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ceW4Ycg4qliXmSwOmXysKISKfEeffqqI0H/r0hkuEz86IyTC2URQ23HGO1LXIYXgXwHiQwXspBejWF3mS1u+AA==" saltValue="jaUzpbOx/EIatzz7OQiOf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157</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81</v>
      </c>
      <c r="C9" s="7">
        <f>'Fane 2.1. Økonomisk ramme 2025'!C20</f>
        <v>125903504.31604268</v>
      </c>
      <c r="D9" s="8" t="s">
        <v>3</v>
      </c>
      <c r="E9" s="1"/>
    </row>
    <row r="10" spans="1:5" ht="15" customHeight="1" x14ac:dyDescent="0.25">
      <c r="A10" s="1"/>
      <c r="B10" s="26" t="s">
        <v>19</v>
      </c>
      <c r="C10" s="7">
        <f>C9*'Fane 15. Nøgletal'!C10</f>
        <v>8347402.3361536292</v>
      </c>
      <c r="D10" s="8" t="s">
        <v>3</v>
      </c>
      <c r="E10" s="1"/>
    </row>
    <row r="11" spans="1:5" ht="15" customHeight="1" x14ac:dyDescent="0.25">
      <c r="A11" s="1"/>
      <c r="B11" s="26" t="s">
        <v>10</v>
      </c>
      <c r="C11" s="9">
        <f>-SUM(C9:C10)*'Fane 5. Individuelt eff. krav'!C9</f>
        <v>-2250698.3014296573</v>
      </c>
      <c r="D11" s="8" t="s">
        <v>3</v>
      </c>
      <c r="E11" s="1"/>
    </row>
    <row r="12" spans="1:5" ht="15" customHeight="1" x14ac:dyDescent="0.25">
      <c r="A12" s="1"/>
      <c r="B12" s="26" t="s">
        <v>22</v>
      </c>
      <c r="C12" s="9">
        <f>-'Fane 4.1. Gen. krav - drift'!C22</f>
        <v>-793736.48373012396</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131206471.86703654</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Nøgletal'!C10)+'Fane 6. Ikke-påvirkelige omk.'!C25+'Fane 6. Ikke-påvirkelige omk.'!C33</f>
        <v>6101800.0051431209</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driftsomk.'!C18</f>
        <v>0</v>
      </c>
      <c r="D18" s="11" t="s">
        <v>3</v>
      </c>
      <c r="E18" s="1"/>
    </row>
    <row r="19" spans="1:5" x14ac:dyDescent="0.25">
      <c r="A19" s="1"/>
      <c r="B19" s="33" t="s">
        <v>70</v>
      </c>
      <c r="C19" s="28"/>
      <c r="D19" s="19"/>
      <c r="E19" s="1"/>
    </row>
    <row r="20" spans="1:5" ht="15" customHeight="1" x14ac:dyDescent="0.25">
      <c r="A20" s="1"/>
      <c r="B20" s="31" t="s">
        <v>80</v>
      </c>
      <c r="C20" s="10">
        <f>'Fane 7. Kontrol af ØR2023'!C33</f>
        <v>-107766.17803060263</v>
      </c>
      <c r="D20" s="11" t="s">
        <v>3</v>
      </c>
      <c r="E20" s="1"/>
    </row>
    <row r="21" spans="1:5" x14ac:dyDescent="0.25">
      <c r="A21" s="1"/>
      <c r="B21" s="30" t="s">
        <v>76</v>
      </c>
      <c r="C21" s="28"/>
      <c r="D21" s="19"/>
      <c r="E21" s="1"/>
    </row>
    <row r="22" spans="1:5" x14ac:dyDescent="0.25">
      <c r="A22" s="1"/>
      <c r="B22" s="68" t="s">
        <v>77</v>
      </c>
      <c r="C22" s="10">
        <f>'Fane 8. Skattesagen'!C15</f>
        <v>0</v>
      </c>
      <c r="D22" s="11" t="s">
        <v>3</v>
      </c>
      <c r="E22" s="1"/>
    </row>
    <row r="23" spans="1:5" x14ac:dyDescent="0.25">
      <c r="A23" s="1"/>
      <c r="B23" s="33" t="s">
        <v>82</v>
      </c>
      <c r="C23" s="12">
        <f>SUM(C14,C16,C18,C20,C22)</f>
        <v>137200505.69414905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slR9nFHLIHlLJPq/lk+4nxk/sAZYkLs1Ns6aTrHeAt9X4HGN5qYzhgUGEbC9/jQ6+l4C4BEHjZh9jsUSSXcgQ==" saltValue="IIcfAxmND9UFgSmsEGuIsg=="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158</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130</v>
      </c>
      <c r="C9" s="7">
        <f>'Fane 2.2. Økonomisk ramme 2026'!C14</f>
        <v>131206471.86703654</v>
      </c>
      <c r="D9" s="8" t="s">
        <v>3</v>
      </c>
      <c r="E9" s="1"/>
    </row>
    <row r="10" spans="1:5" ht="15" customHeight="1" x14ac:dyDescent="0.25">
      <c r="A10" s="1"/>
      <c r="B10" s="26" t="s">
        <v>19</v>
      </c>
      <c r="C10" s="7">
        <f>SUM(C9:C9)*'Fane 15. Nøgletal'!C10</f>
        <v>8698989.0847845227</v>
      </c>
      <c r="D10" s="8" t="s">
        <v>3</v>
      </c>
      <c r="E10" s="1"/>
    </row>
    <row r="11" spans="1:5" ht="15" customHeight="1" x14ac:dyDescent="0.25">
      <c r="A11" s="1"/>
      <c r="B11" s="26" t="s">
        <v>10</v>
      </c>
      <c r="C11" s="9">
        <f>-SUM(C9:C10)*'Fane 5. Individuelt eff. krav'!C9</f>
        <v>-2345496.1398567618</v>
      </c>
      <c r="D11" s="8" t="s">
        <v>3</v>
      </c>
      <c r="E11" s="1"/>
    </row>
    <row r="12" spans="1:5" ht="15" customHeight="1" x14ac:dyDescent="0.25">
      <c r="A12" s="1"/>
      <c r="B12" s="26" t="s">
        <v>22</v>
      </c>
      <c r="C12" s="9">
        <f>-'Fane 4.1. Gen. krav - drift'!C27</f>
        <v>-829433.98834940256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136730530.8236149</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Nøgletal'!C10)^2+'Fane 6. Ikke-påvirkelige omk.'!C26+'Fane 6. Ikke-påvirkelige omk.'!C34</f>
        <v>6366706.5616841102</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driftsomk.'!C24</f>
        <v>0</v>
      </c>
      <c r="D18" s="11" t="s">
        <v>3</v>
      </c>
      <c r="E18" s="1"/>
    </row>
    <row r="19" spans="1:5" ht="15" customHeight="1" x14ac:dyDescent="0.25">
      <c r="A19" s="1"/>
      <c r="B19" s="33" t="s">
        <v>70</v>
      </c>
      <c r="C19" s="28"/>
      <c r="D19" s="19"/>
      <c r="E19" s="1"/>
    </row>
    <row r="20" spans="1:5" ht="15" customHeight="1" x14ac:dyDescent="0.25">
      <c r="A20" s="1"/>
      <c r="B20" s="31" t="s">
        <v>80</v>
      </c>
      <c r="C20" s="10">
        <f>'Fane 7. Kontrol af ØR2023'!C33</f>
        <v>-107766.17803060263</v>
      </c>
      <c r="D20" s="11" t="s">
        <v>3</v>
      </c>
      <c r="E20" s="1"/>
    </row>
    <row r="21" spans="1:5" x14ac:dyDescent="0.25">
      <c r="A21" s="1"/>
      <c r="B21" s="30" t="s">
        <v>76</v>
      </c>
      <c r="C21" s="28"/>
      <c r="D21" s="19"/>
      <c r="E21" s="1"/>
    </row>
    <row r="22" spans="1:5" x14ac:dyDescent="0.25">
      <c r="A22" s="1"/>
      <c r="B22" s="68" t="s">
        <v>77</v>
      </c>
      <c r="C22" s="10">
        <f>'Fane 8. Skattesagen'!C16</f>
        <v>0</v>
      </c>
      <c r="D22" s="11" t="s">
        <v>3</v>
      </c>
      <c r="E22" s="1"/>
    </row>
    <row r="23" spans="1:5" x14ac:dyDescent="0.25">
      <c r="A23" s="1"/>
      <c r="B23" s="33" t="s">
        <v>131</v>
      </c>
      <c r="C23" s="12">
        <f>SUM(C14,C16,C18,C20,C22)</f>
        <v>142989471.20726839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wPRTwfbJBomwWAWmzrQ0CO7YdJRPUz4wzLFVEQR8Smh3KM1VtmynyE69t/8wkt7Yq9f1rTy07zu7SGlir6OCg==" saltValue="c58tTlp5QanEH1v1Yl/yw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159</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160</v>
      </c>
      <c r="C9" s="7">
        <f>'Fane 2.3. Økonomisk ramme 2027'!C14</f>
        <v>136730530.8236149</v>
      </c>
      <c r="D9" s="8" t="s">
        <v>3</v>
      </c>
      <c r="E9" s="1"/>
    </row>
    <row r="10" spans="1:5" ht="15" customHeight="1" x14ac:dyDescent="0.25">
      <c r="A10" s="1"/>
      <c r="B10" s="26" t="s">
        <v>19</v>
      </c>
      <c r="C10" s="7">
        <f>SUM(C9:C9)*'Fane 15. Nøgletal'!C10</f>
        <v>9065234.193605667</v>
      </c>
      <c r="D10" s="8" t="s">
        <v>3</v>
      </c>
      <c r="E10" s="1"/>
    </row>
    <row r="11" spans="1:5" ht="15" customHeight="1" x14ac:dyDescent="0.25">
      <c r="A11" s="1"/>
      <c r="B11" s="26" t="s">
        <v>10</v>
      </c>
      <c r="C11" s="9">
        <f>-SUM(C9:C10)*'Fane 5. Individuelt eff. krav'!C9</f>
        <v>-2444246.2912374488</v>
      </c>
      <c r="D11" s="8" t="s">
        <v>3</v>
      </c>
      <c r="E11" s="1"/>
    </row>
    <row r="12" spans="1:5" ht="15" customHeight="1" x14ac:dyDescent="0.25">
      <c r="A12" s="1"/>
      <c r="B12" s="26" t="s">
        <v>22</v>
      </c>
      <c r="C12" s="9">
        <f>-'Fane 4.1. Gen. krav - drift'!C32</f>
        <v>-866736.95254142862</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142484781.77344167</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Nøgletal'!C10)^3+'Fane 6. Ikke-påvirkelige omk.'!C27+'Fane 6. Ikke-påvirkelige omk.'!C35</f>
        <v>6649176.422923767</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driftsomk.'!C30</f>
        <v>0</v>
      </c>
      <c r="D18" s="11" t="s">
        <v>3</v>
      </c>
      <c r="E18" s="1"/>
    </row>
    <row r="19" spans="1:5" x14ac:dyDescent="0.25">
      <c r="A19" s="1"/>
      <c r="B19" s="30" t="s">
        <v>76</v>
      </c>
      <c r="C19" s="28"/>
      <c r="D19" s="19"/>
      <c r="E19" s="1"/>
    </row>
    <row r="20" spans="1:5" x14ac:dyDescent="0.25">
      <c r="A20" s="1"/>
      <c r="B20" s="68" t="s">
        <v>77</v>
      </c>
      <c r="C20" s="10">
        <f>'Fane 8. Skattesagen'!C17</f>
        <v>0</v>
      </c>
      <c r="D20" s="11" t="s">
        <v>3</v>
      </c>
      <c r="E20" s="1"/>
    </row>
    <row r="21" spans="1:5" x14ac:dyDescent="0.25">
      <c r="A21" s="1"/>
      <c r="B21" s="33" t="s">
        <v>161</v>
      </c>
      <c r="C21" s="12">
        <f>SUM(C14,C16,C18,C20)</f>
        <v>149133958.19636545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iFe/skV3K8AuF6bV02+GZHrdWVBE4wm8C7B/l7GTaKwoPw7GZZ3LN10vZD6NLiNcpxHd+gTB4oF1cxPTpJYhw==" saltValue="e4br6SbK4e+CM13edINrS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11" t="s">
        <v>162</v>
      </c>
      <c r="C3" s="111"/>
      <c r="D3" s="111"/>
      <c r="E3" s="1"/>
    </row>
    <row r="4" spans="1:5" ht="15" customHeight="1" x14ac:dyDescent="0.25">
      <c r="A4" s="1"/>
      <c r="B4" s="111"/>
      <c r="C4" s="111"/>
      <c r="D4" s="111"/>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163</v>
      </c>
      <c r="C8" s="28"/>
      <c r="D8" s="19"/>
      <c r="E8" s="1"/>
    </row>
    <row r="9" spans="1:5" ht="15" customHeight="1" x14ac:dyDescent="0.25">
      <c r="A9" s="1"/>
      <c r="B9" s="29" t="s">
        <v>65</v>
      </c>
      <c r="C9" s="7">
        <v>99480351.383478224</v>
      </c>
      <c r="D9" s="8" t="s">
        <v>3</v>
      </c>
      <c r="E9" s="1"/>
    </row>
    <row r="10" spans="1:5" ht="15" customHeight="1" x14ac:dyDescent="0.25">
      <c r="A10" s="1"/>
      <c r="B10" s="65" t="s">
        <v>35</v>
      </c>
      <c r="C10" s="63">
        <v>1649162.4576000001</v>
      </c>
      <c r="D10" s="8" t="s">
        <v>3</v>
      </c>
      <c r="E10" s="1"/>
    </row>
    <row r="11" spans="1:5" ht="15" customHeight="1" x14ac:dyDescent="0.25">
      <c r="A11" s="1"/>
      <c r="B11" s="65" t="s">
        <v>36</v>
      </c>
      <c r="C11" s="63">
        <v>4321081.6320000002</v>
      </c>
      <c r="D11" s="8" t="s">
        <v>3</v>
      </c>
      <c r="E11" s="1"/>
    </row>
    <row r="12" spans="1:5" ht="15" customHeight="1" x14ac:dyDescent="0.25">
      <c r="A12" s="1"/>
      <c r="B12" s="65" t="s">
        <v>25</v>
      </c>
      <c r="C12" s="9">
        <v>0</v>
      </c>
      <c r="D12" s="8" t="s">
        <v>3</v>
      </c>
      <c r="E12" s="1"/>
    </row>
    <row r="13" spans="1:5" ht="15" customHeight="1" x14ac:dyDescent="0.25">
      <c r="A13" s="1"/>
      <c r="B13" s="65" t="s">
        <v>24</v>
      </c>
      <c r="C13" s="9">
        <v>0</v>
      </c>
      <c r="D13" s="8" t="s">
        <v>3</v>
      </c>
      <c r="E13" s="1"/>
    </row>
    <row r="14" spans="1:5" ht="15" customHeight="1" x14ac:dyDescent="0.25">
      <c r="A14" s="1"/>
      <c r="B14" s="65" t="s">
        <v>63</v>
      </c>
      <c r="C14" s="9">
        <v>0</v>
      </c>
      <c r="D14" s="8" t="s">
        <v>3</v>
      </c>
      <c r="E14" s="1"/>
    </row>
    <row r="15" spans="1:5" ht="15" customHeight="1" x14ac:dyDescent="0.25">
      <c r="A15" s="1"/>
      <c r="B15" s="65" t="s">
        <v>64</v>
      </c>
      <c r="C15" s="9">
        <v>0</v>
      </c>
      <c r="D15" s="8" t="s">
        <v>3</v>
      </c>
      <c r="E15" s="1"/>
    </row>
    <row r="16" spans="1:5" ht="15" customHeight="1" x14ac:dyDescent="0.25">
      <c r="A16" s="1"/>
      <c r="B16" s="65" t="s">
        <v>19</v>
      </c>
      <c r="C16" s="9">
        <v>8520408.1142247207</v>
      </c>
      <c r="D16" s="8" t="s">
        <v>3</v>
      </c>
      <c r="E16" s="1"/>
    </row>
    <row r="17" spans="1:5" ht="15" customHeight="1" x14ac:dyDescent="0.25">
      <c r="A17" s="1"/>
      <c r="B17" s="65" t="s">
        <v>10</v>
      </c>
      <c r="C17" s="9">
        <v>-1910708.4680681343</v>
      </c>
      <c r="D17" s="8" t="s">
        <v>3</v>
      </c>
      <c r="E17" s="1"/>
    </row>
    <row r="18" spans="1:5" ht="15" customHeight="1" x14ac:dyDescent="0.25">
      <c r="A18" s="1"/>
      <c r="B18" s="65" t="s">
        <v>22</v>
      </c>
      <c r="C18" s="9">
        <v>-656854.50543529133</v>
      </c>
      <c r="D18" s="8" t="s">
        <v>3</v>
      </c>
      <c r="E18" s="43"/>
    </row>
    <row r="19" spans="1:5" ht="15" customHeight="1" x14ac:dyDescent="0.25">
      <c r="A19" s="1"/>
      <c r="B19" s="65" t="s">
        <v>23</v>
      </c>
      <c r="C19" s="9">
        <v>0</v>
      </c>
      <c r="D19" s="8" t="s">
        <v>3</v>
      </c>
      <c r="E19" s="1"/>
    </row>
    <row r="20" spans="1:5" ht="15" customHeight="1" x14ac:dyDescent="0.25">
      <c r="A20" s="1"/>
      <c r="B20" s="83" t="s">
        <v>21</v>
      </c>
      <c r="C20" s="10">
        <v>111403440.61379951</v>
      </c>
      <c r="D20" s="11" t="s">
        <v>3</v>
      </c>
      <c r="E20" s="1"/>
    </row>
    <row r="21" spans="1:5" ht="15" customHeight="1" x14ac:dyDescent="0.25">
      <c r="A21" s="1"/>
      <c r="B21" s="33" t="s">
        <v>12</v>
      </c>
      <c r="C21" s="28"/>
      <c r="D21" s="19"/>
      <c r="E21" s="1"/>
    </row>
    <row r="22" spans="1:5" ht="15" customHeight="1" x14ac:dyDescent="0.25">
      <c r="A22" s="1"/>
      <c r="B22" s="31" t="s">
        <v>12</v>
      </c>
      <c r="C22" s="10">
        <v>4632221.2468665596</v>
      </c>
      <c r="D22" s="11" t="s">
        <v>3</v>
      </c>
      <c r="E22" s="1"/>
    </row>
    <row r="23" spans="1:5" ht="15" customHeight="1" x14ac:dyDescent="0.25">
      <c r="A23" s="1"/>
      <c r="B23" s="33" t="s">
        <v>43</v>
      </c>
      <c r="C23" s="28"/>
      <c r="D23" s="19"/>
      <c r="E23" s="1"/>
    </row>
    <row r="24" spans="1:5" ht="15" customHeight="1" x14ac:dyDescent="0.25">
      <c r="A24" s="1"/>
      <c r="B24" s="83" t="s">
        <v>43</v>
      </c>
      <c r="C24" s="10">
        <v>0</v>
      </c>
      <c r="D24" s="11" t="s">
        <v>3</v>
      </c>
      <c r="E24" s="1"/>
    </row>
    <row r="25" spans="1:5" x14ac:dyDescent="0.25">
      <c r="A25" s="1"/>
      <c r="B25" s="33" t="s">
        <v>42</v>
      </c>
      <c r="C25" s="28"/>
      <c r="D25" s="19"/>
      <c r="E25" s="1"/>
    </row>
    <row r="26" spans="1:5" ht="15" customHeight="1" x14ac:dyDescent="0.25">
      <c r="A26" s="1"/>
      <c r="B26" s="65" t="s">
        <v>38</v>
      </c>
      <c r="C26" s="9">
        <v>5017121.8538291194</v>
      </c>
      <c r="D26" s="8" t="s">
        <v>3</v>
      </c>
      <c r="E26" s="1"/>
    </row>
    <row r="27" spans="1:5" ht="15" customHeight="1" x14ac:dyDescent="0.25">
      <c r="A27" s="1"/>
      <c r="B27" s="65" t="s">
        <v>39</v>
      </c>
      <c r="C27" s="9">
        <v>0</v>
      </c>
      <c r="D27" s="8" t="s">
        <v>3</v>
      </c>
      <c r="E27" s="1"/>
    </row>
    <row r="28" spans="1:5" ht="15" customHeight="1" x14ac:dyDescent="0.25">
      <c r="A28" s="1"/>
      <c r="B28" s="65" t="s">
        <v>226</v>
      </c>
      <c r="C28" s="9">
        <v>-184453.8067206851</v>
      </c>
      <c r="D28" s="8" t="s">
        <v>3</v>
      </c>
      <c r="E28" s="1"/>
    </row>
    <row r="29" spans="1:5" ht="15" customHeight="1" x14ac:dyDescent="0.25">
      <c r="A29" s="1"/>
      <c r="B29" s="72" t="s">
        <v>227</v>
      </c>
      <c r="C29" s="9">
        <v>0</v>
      </c>
      <c r="D29" s="8" t="s">
        <v>3</v>
      </c>
      <c r="E29" s="1"/>
    </row>
    <row r="30" spans="1:5" ht="15" customHeight="1" x14ac:dyDescent="0.25">
      <c r="A30" s="1"/>
      <c r="B30" s="83" t="s">
        <v>44</v>
      </c>
      <c r="C30" s="10">
        <v>4832668.0471084341</v>
      </c>
      <c r="D30" s="11" t="s">
        <v>3</v>
      </c>
      <c r="E30" s="1"/>
    </row>
    <row r="31" spans="1:5" ht="15" customHeight="1" x14ac:dyDescent="0.25">
      <c r="A31" s="1"/>
      <c r="B31" s="33" t="s">
        <v>129</v>
      </c>
      <c r="C31" s="28"/>
      <c r="D31" s="19"/>
      <c r="E31" s="1"/>
    </row>
    <row r="32" spans="1:5" ht="15" customHeight="1" x14ac:dyDescent="0.25">
      <c r="A32" s="1"/>
      <c r="B32" s="31" t="s">
        <v>129</v>
      </c>
      <c r="C32" s="10">
        <v>-343117</v>
      </c>
      <c r="D32" s="11" t="s">
        <v>3</v>
      </c>
      <c r="E32" s="1"/>
    </row>
    <row r="33" spans="1:5" x14ac:dyDescent="0.25">
      <c r="A33" s="1"/>
      <c r="B33" s="33" t="s">
        <v>70</v>
      </c>
      <c r="C33" s="28"/>
      <c r="D33" s="19"/>
      <c r="E33" s="1"/>
    </row>
    <row r="34" spans="1:5" ht="15.4" customHeight="1" x14ac:dyDescent="0.25">
      <c r="A34" s="1"/>
      <c r="B34" s="31" t="s">
        <v>80</v>
      </c>
      <c r="C34" s="10">
        <v>0</v>
      </c>
      <c r="D34" s="11" t="s">
        <v>3</v>
      </c>
      <c r="E34" s="1"/>
    </row>
    <row r="35" spans="1:5" ht="15.4" customHeight="1" x14ac:dyDescent="0.25">
      <c r="A35" s="1"/>
      <c r="B35" s="108" t="s">
        <v>76</v>
      </c>
      <c r="C35" s="109"/>
      <c r="D35" s="110"/>
      <c r="E35" s="1"/>
    </row>
    <row r="36" spans="1:5" x14ac:dyDescent="0.25">
      <c r="A36" s="1"/>
      <c r="B36" s="68" t="s">
        <v>77</v>
      </c>
      <c r="C36" s="10">
        <v>0</v>
      </c>
      <c r="D36" s="11" t="s">
        <v>3</v>
      </c>
      <c r="E36" s="1"/>
    </row>
    <row r="37" spans="1:5" x14ac:dyDescent="0.25">
      <c r="A37" s="1"/>
      <c r="B37" s="30" t="s">
        <v>214</v>
      </c>
      <c r="C37" s="28"/>
      <c r="D37" s="19"/>
      <c r="E37" s="1"/>
    </row>
    <row r="38" spans="1:5" x14ac:dyDescent="0.25">
      <c r="A38" s="1"/>
      <c r="B38" s="68" t="s">
        <v>215</v>
      </c>
      <c r="C38" s="10">
        <v>2085456.3940825956</v>
      </c>
      <c r="D38" s="11" t="s">
        <v>3</v>
      </c>
      <c r="E38" s="1"/>
    </row>
    <row r="39" spans="1:5" x14ac:dyDescent="0.25">
      <c r="A39" s="1"/>
      <c r="B39" s="33" t="s">
        <v>66</v>
      </c>
      <c r="C39" s="12">
        <v>122610669.3018571</v>
      </c>
      <c r="D39" s="13" t="s">
        <v>3</v>
      </c>
      <c r="E39" s="1"/>
    </row>
    <row r="40" spans="1:5" ht="30" customHeight="1" x14ac:dyDescent="0.25">
      <c r="A40" s="1"/>
      <c r="B40" s="107" t="s">
        <v>228</v>
      </c>
      <c r="C40" s="107"/>
      <c r="D40" s="107"/>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t="15" hidden="1" customHeight="1" x14ac:dyDescent="0.25">
      <c r="A49" s="44"/>
      <c r="B49" s="44"/>
      <c r="C49" s="44"/>
      <c r="D49" s="44"/>
      <c r="E49" s="44"/>
    </row>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Ei4eRB1SDOcDfVWLEFMMCTd31pDzqw/oyBf4xJzrDj+mUYhSs6Uk7t2R1STSaaUKfpRxj7J8L81O9y2FAUHsLg==" saltValue="XKQoAfnuOwQJfyi3twUZeQ==" spinCount="100000" sheet="1" objects="1" scenarios="1"/>
  <mergeCells count="3">
    <mergeCell ref="B40:D40"/>
    <mergeCell ref="B35:D35"/>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124</v>
      </c>
      <c r="C8" s="113"/>
      <c r="D8" s="114"/>
      <c r="E8" s="1"/>
    </row>
    <row r="9" spans="1:5" x14ac:dyDescent="0.25">
      <c r="A9" s="1"/>
      <c r="B9" s="66" t="s">
        <v>89</v>
      </c>
      <c r="C9" s="23">
        <v>31060310.487590477</v>
      </c>
      <c r="D9" s="14" t="s">
        <v>3</v>
      </c>
      <c r="E9" s="1"/>
    </row>
    <row r="10" spans="1:5" x14ac:dyDescent="0.25">
      <c r="A10" s="1"/>
      <c r="B10" s="66" t="s">
        <v>126</v>
      </c>
      <c r="C10" s="23">
        <f>('Fane 3. Omkostninger i ØR2024'!C10+'Fane 3. Omkostninger i ØR2024'!C12+'Fane 3. Omkostninger i ØR2024'!C14)*(1+'Fane 15. Nøgletal'!C9)</f>
        <v>1782414.78417408</v>
      </c>
      <c r="D10" s="14" t="s">
        <v>3</v>
      </c>
      <c r="E10" s="1"/>
    </row>
    <row r="11" spans="1:5" x14ac:dyDescent="0.25">
      <c r="A11" s="1"/>
      <c r="B11" s="66" t="s">
        <v>132</v>
      </c>
      <c r="C11" s="23">
        <f>C9*'Fane 15. Nøgletal'!C21+C10*'Fane 15. Nøgletal'!C21</f>
        <v>656854.50543529121</v>
      </c>
      <c r="D11" s="14" t="s">
        <v>3</v>
      </c>
      <c r="E11" s="1"/>
    </row>
    <row r="12" spans="1:5" x14ac:dyDescent="0.25">
      <c r="A12" s="1"/>
      <c r="B12" s="33"/>
      <c r="C12" s="28"/>
      <c r="D12" s="19"/>
      <c r="E12" s="1"/>
    </row>
    <row r="13" spans="1:5" x14ac:dyDescent="0.25">
      <c r="A13" s="1"/>
      <c r="B13" s="1"/>
      <c r="C13" s="1"/>
      <c r="D13" s="1"/>
      <c r="E13" s="1"/>
    </row>
    <row r="14" spans="1:5" x14ac:dyDescent="0.25">
      <c r="A14" s="1"/>
      <c r="B14" s="112" t="s">
        <v>125</v>
      </c>
      <c r="C14" s="113"/>
      <c r="D14" s="114"/>
      <c r="E14" s="1"/>
    </row>
    <row r="15" spans="1:5" x14ac:dyDescent="0.25">
      <c r="A15" s="1"/>
      <c r="B15" s="66" t="s">
        <v>134</v>
      </c>
      <c r="C15" s="23">
        <f>(C9+C10-C11)*(1+'Fane 15. Nøgletal'!C9)</f>
        <v>34786489.124248669</v>
      </c>
      <c r="D15" s="14" t="s">
        <v>3</v>
      </c>
      <c r="E15" s="1"/>
    </row>
    <row r="16" spans="1:5" x14ac:dyDescent="0.25">
      <c r="A16" s="1"/>
      <c r="B16" s="66" t="s">
        <v>185</v>
      </c>
      <c r="C16" s="23">
        <f>('Fane 2.1. Økonomisk ramme 2025'!C10+'Fane 2.1. Økonomisk ramme 2025'!C12+'Fane 2.1. Økonomisk ramme 2025'!C14)*(1+'Fane 15. Nøgletal'!C10)</f>
        <v>3192277.9900586698</v>
      </c>
      <c r="D16" s="14" t="s">
        <v>3</v>
      </c>
      <c r="E16" s="1"/>
    </row>
    <row r="17" spans="1:5" x14ac:dyDescent="0.25">
      <c r="A17" s="1"/>
      <c r="B17" s="66" t="s">
        <v>133</v>
      </c>
      <c r="C17" s="23">
        <f>C15*'Fane 15. Nøgletal'!C21+C16*'Fane 15. Nøgletal'!C21</f>
        <v>759575.34228614683</v>
      </c>
      <c r="D17" s="14" t="s">
        <v>3</v>
      </c>
      <c r="E17" s="1"/>
    </row>
    <row r="18" spans="1:5" x14ac:dyDescent="0.25">
      <c r="A18" s="1"/>
      <c r="B18" s="33"/>
      <c r="C18" s="28"/>
      <c r="D18" s="19"/>
      <c r="E18" s="1"/>
    </row>
    <row r="19" spans="1:5" x14ac:dyDescent="0.25">
      <c r="A19" s="1"/>
      <c r="B19" s="1"/>
      <c r="C19" s="64"/>
      <c r="D19" s="1"/>
      <c r="E19" s="1"/>
    </row>
    <row r="20" spans="1:5" x14ac:dyDescent="0.25">
      <c r="A20" s="1"/>
      <c r="B20" s="112" t="s">
        <v>146</v>
      </c>
      <c r="C20" s="113"/>
      <c r="D20" s="114"/>
      <c r="E20" s="1"/>
    </row>
    <row r="21" spans="1:5" x14ac:dyDescent="0.25">
      <c r="A21" s="1"/>
      <c r="B21" s="66" t="s">
        <v>190</v>
      </c>
      <c r="C21" s="23">
        <f>(C15+C16-C17)*(1+'Fane 15. Nøgletal'!C10)</f>
        <v>39686824.186506197</v>
      </c>
      <c r="D21" s="14" t="s">
        <v>3</v>
      </c>
      <c r="E21" s="1"/>
    </row>
    <row r="22" spans="1:5" x14ac:dyDescent="0.25">
      <c r="A22" s="1"/>
      <c r="B22" s="66" t="s">
        <v>197</v>
      </c>
      <c r="C22" s="23">
        <f>C21*'Fane 15. Nøgletal'!C21</f>
        <v>793736.48373012396</v>
      </c>
      <c r="D22" s="14" t="s">
        <v>3</v>
      </c>
      <c r="E22" s="1"/>
    </row>
    <row r="23" spans="1:5" x14ac:dyDescent="0.25">
      <c r="A23" s="1"/>
      <c r="B23" s="33"/>
      <c r="C23" s="28"/>
      <c r="D23" s="19"/>
      <c r="E23" s="1"/>
    </row>
    <row r="24" spans="1:5" x14ac:dyDescent="0.25">
      <c r="A24" s="1"/>
      <c r="B24" s="1"/>
      <c r="C24" s="1"/>
      <c r="D24" s="1"/>
      <c r="E24" s="1"/>
    </row>
    <row r="25" spans="1:5" x14ac:dyDescent="0.25">
      <c r="A25" s="1"/>
      <c r="B25" s="112" t="s">
        <v>188</v>
      </c>
      <c r="C25" s="113"/>
      <c r="D25" s="114"/>
      <c r="E25" s="1"/>
    </row>
    <row r="26" spans="1:5" x14ac:dyDescent="0.25">
      <c r="A26" s="1"/>
      <c r="B26" s="66" t="s">
        <v>191</v>
      </c>
      <c r="C26" s="23">
        <f>(C21-C22)*(1+'Fane 15. Nøgletal'!C10)</f>
        <v>41471699.417470127</v>
      </c>
      <c r="D26" s="14" t="s">
        <v>3</v>
      </c>
      <c r="E26" s="1"/>
    </row>
    <row r="27" spans="1:5" x14ac:dyDescent="0.25">
      <c r="A27" s="1"/>
      <c r="B27" s="66" t="s">
        <v>195</v>
      </c>
      <c r="C27" s="23">
        <f>C26*'Fane 15. Nøgletal'!C21</f>
        <v>829433.98834940256</v>
      </c>
      <c r="D27" s="14" t="s">
        <v>3</v>
      </c>
      <c r="E27" s="1"/>
    </row>
    <row r="28" spans="1:5" x14ac:dyDescent="0.25">
      <c r="A28" s="1"/>
      <c r="B28" s="33"/>
      <c r="C28" s="28"/>
      <c r="D28" s="19"/>
      <c r="E28" s="1"/>
    </row>
    <row r="29" spans="1:5" x14ac:dyDescent="0.25">
      <c r="A29" s="1"/>
      <c r="B29" s="1"/>
      <c r="C29" s="1"/>
      <c r="D29" s="1"/>
      <c r="E29" s="1"/>
    </row>
    <row r="30" spans="1:5" x14ac:dyDescent="0.25">
      <c r="A30" s="1"/>
      <c r="B30" s="112" t="s">
        <v>189</v>
      </c>
      <c r="C30" s="113"/>
      <c r="D30" s="114"/>
      <c r="E30" s="1"/>
    </row>
    <row r="31" spans="1:5" x14ac:dyDescent="0.25">
      <c r="A31" s="1"/>
      <c r="B31" s="66" t="s">
        <v>192</v>
      </c>
      <c r="C31" s="23">
        <f>(C26-C27)*(1+'Fane 15. Nøgletal'!C10)</f>
        <v>43336847.627071433</v>
      </c>
      <c r="D31" s="14" t="s">
        <v>3</v>
      </c>
      <c r="E31" s="1"/>
    </row>
    <row r="32" spans="1:5" x14ac:dyDescent="0.25">
      <c r="A32" s="1"/>
      <c r="B32" s="66" t="s">
        <v>196</v>
      </c>
      <c r="C32" s="23">
        <f>C31*'Fane 15. Nøgletal'!C21</f>
        <v>866736.95254142862</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88q5YdFqo1L1rKmAuqLD0yW8/TWIFHfCiKsrhz4553j63jYiLtOiABUk2blqLBxlUqAPO2dIPp5lgNPjHEpGA==" saltValue="WiTMn6WaDl+cI8NoBKtxnA=="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70"/>
      <c r="C1" s="70"/>
      <c r="D1" s="70"/>
      <c r="E1" s="1"/>
    </row>
    <row r="2" spans="1:5" ht="15" customHeight="1" x14ac:dyDescent="0.35">
      <c r="A2" s="1"/>
      <c r="B2" s="70"/>
      <c r="C2" s="70"/>
      <c r="D2" s="70"/>
      <c r="E2" s="1"/>
    </row>
    <row r="3" spans="1:5" ht="15" customHeight="1" x14ac:dyDescent="0.25">
      <c r="A3" s="1"/>
      <c r="B3" s="115" t="s">
        <v>58</v>
      </c>
      <c r="C3" s="115"/>
      <c r="D3" s="115"/>
      <c r="E3" s="1"/>
    </row>
    <row r="4" spans="1:5" ht="15" customHeight="1" x14ac:dyDescent="0.25">
      <c r="A4" s="1"/>
      <c r="B4" s="115"/>
      <c r="C4" s="115"/>
      <c r="D4" s="115"/>
      <c r="E4" s="1"/>
    </row>
    <row r="5" spans="1:5" ht="15" customHeight="1" x14ac:dyDescent="0.25">
      <c r="A5" s="1"/>
      <c r="B5" s="115"/>
      <c r="C5" s="115"/>
      <c r="D5" s="115"/>
      <c r="E5" s="1"/>
    </row>
    <row r="6" spans="1:5" ht="15" customHeight="1" x14ac:dyDescent="0.35">
      <c r="A6" s="1"/>
      <c r="B6" s="70"/>
      <c r="C6" s="70"/>
      <c r="D6" s="70"/>
      <c r="E6" s="1"/>
    </row>
    <row r="7" spans="1:5" x14ac:dyDescent="0.25">
      <c r="A7" s="1"/>
      <c r="B7" s="1"/>
      <c r="C7" s="1"/>
      <c r="D7" s="1"/>
      <c r="E7" s="1"/>
    </row>
    <row r="8" spans="1:5" x14ac:dyDescent="0.25">
      <c r="A8" s="1"/>
      <c r="B8" s="112" t="s">
        <v>148</v>
      </c>
      <c r="C8" s="113"/>
      <c r="D8" s="114"/>
      <c r="E8" s="1"/>
    </row>
    <row r="9" spans="1:5" x14ac:dyDescent="0.25">
      <c r="A9" s="1"/>
      <c r="B9" s="66" t="s">
        <v>135</v>
      </c>
      <c r="C9" s="23">
        <v>81001100.681248859</v>
      </c>
      <c r="D9" s="14" t="s">
        <v>3</v>
      </c>
      <c r="E9" s="1"/>
    </row>
    <row r="10" spans="1:5" x14ac:dyDescent="0.25">
      <c r="A10" s="1"/>
      <c r="B10" s="66" t="s">
        <v>127</v>
      </c>
      <c r="C10" s="23">
        <f>('Fane 3. Omkostninger i ØR2024'!C11+'Fane 3. Omkostninger i ØR2024'!C13+'Fane 3. Omkostninger i ØR2024'!C15)*(1+'Fane 15. Nøgletal'!C9)</f>
        <v>4670225.0278655998</v>
      </c>
      <c r="D10" s="14" t="s">
        <v>3</v>
      </c>
      <c r="E10" s="1"/>
    </row>
    <row r="11" spans="1:5" x14ac:dyDescent="0.25">
      <c r="A11" s="1"/>
      <c r="B11" s="66" t="s">
        <v>136</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12" t="s">
        <v>147</v>
      </c>
      <c r="C14" s="113"/>
      <c r="D14" s="114"/>
      <c r="E14" s="1"/>
    </row>
    <row r="15" spans="1:5" x14ac:dyDescent="0.25">
      <c r="A15" s="1"/>
      <c r="B15" s="66" t="s">
        <v>137</v>
      </c>
      <c r="C15" s="23">
        <f>(C9+C10-C11)*(1+'Fane 15. Nøgletal'!C9)</f>
        <v>92593568.826410905</v>
      </c>
      <c r="D15" s="14" t="s">
        <v>3</v>
      </c>
      <c r="E15" s="1"/>
    </row>
    <row r="16" spans="1:5" x14ac:dyDescent="0.25">
      <c r="A16" s="1"/>
      <c r="B16" s="66" t="s">
        <v>186</v>
      </c>
      <c r="C16" s="23">
        <f>('Fane 2.1. Økonomisk ramme 2025'!C11+'Fane 2.1. Økonomisk ramme 2025'!C13+'Fane 2.1. Økonomisk ramme 2025'!C15)*(1+'Fane 15. Nøgletal'!C10)</f>
        <v>5225659.4791365601</v>
      </c>
      <c r="D16" s="14" t="s">
        <v>3</v>
      </c>
      <c r="E16" s="1"/>
    </row>
    <row r="17" spans="1:5" x14ac:dyDescent="0.25">
      <c r="A17" s="1"/>
      <c r="B17" s="66" t="s">
        <v>138</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12" t="s">
        <v>83</v>
      </c>
      <c r="C20" s="113"/>
      <c r="D20" s="114"/>
      <c r="E20" s="1"/>
    </row>
    <row r="21" spans="1:5" x14ac:dyDescent="0.25">
      <c r="A21" s="1"/>
      <c r="B21" s="66" t="s">
        <v>193</v>
      </c>
      <c r="C21" s="23">
        <f>(C15+C16-C17)*(1+'Fane 15. Nøgletal'!C10)</f>
        <v>104304643.14220525</v>
      </c>
      <c r="D21" s="14" t="s">
        <v>3</v>
      </c>
      <c r="E21" s="1"/>
    </row>
    <row r="22" spans="1:5" x14ac:dyDescent="0.25">
      <c r="A22" s="1"/>
      <c r="B22" s="66" t="s">
        <v>198</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12" t="s">
        <v>139</v>
      </c>
      <c r="C25" s="113"/>
      <c r="D25" s="114"/>
      <c r="E25" s="1"/>
    </row>
    <row r="26" spans="1:5" x14ac:dyDescent="0.25">
      <c r="A26" s="1"/>
      <c r="B26" s="66" t="s">
        <v>194</v>
      </c>
      <c r="C26" s="23">
        <f>(C21-C22)*(1+'Fane 15. Nøgletal'!C10)</f>
        <v>111220040.98253347</v>
      </c>
      <c r="D26" s="14" t="s">
        <v>3</v>
      </c>
      <c r="E26" s="1"/>
    </row>
    <row r="27" spans="1:5" x14ac:dyDescent="0.25">
      <c r="A27" s="1"/>
      <c r="B27" s="66" t="s">
        <v>199</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12" t="s">
        <v>164</v>
      </c>
      <c r="C30" s="113"/>
      <c r="D30" s="114"/>
      <c r="E30" s="1"/>
    </row>
    <row r="31" spans="1:5" x14ac:dyDescent="0.25">
      <c r="A31" s="1"/>
      <c r="B31" s="66" t="s">
        <v>201</v>
      </c>
      <c r="C31" s="23">
        <f>(C26-C27)*(1+'Fane 15. Nøgletal'!C10)</f>
        <v>118593929.69967544</v>
      </c>
      <c r="D31" s="14" t="s">
        <v>3</v>
      </c>
      <c r="E31" s="1"/>
    </row>
    <row r="32" spans="1:5" x14ac:dyDescent="0.25">
      <c r="A32" s="1"/>
      <c r="B32" s="66" t="s">
        <v>200</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vqBSJ2mCDvrYwOvOAuUJL0fVefdcmF2COuBvgCV9L/1PTmJBb8WGRhLUAH2pP/xxZiRlrjwCLHFgph7wJ1vig==" saltValue="37FzZ9snKztX6djZqjRZl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45</v>
      </c>
      <c r="C3" s="105"/>
      <c r="D3" s="1"/>
    </row>
    <row r="4" spans="1:4" ht="15" customHeight="1" x14ac:dyDescent="0.25">
      <c r="A4" s="1"/>
      <c r="B4" s="105"/>
      <c r="C4" s="10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12" t="s">
        <v>10</v>
      </c>
      <c r="C8" s="114"/>
      <c r="D8" s="1"/>
    </row>
    <row r="9" spans="1:4" x14ac:dyDescent="0.25">
      <c r="A9" s="1"/>
      <c r="B9" s="66" t="s">
        <v>165</v>
      </c>
      <c r="C9" s="22">
        <v>1.6764864815852151E-2</v>
      </c>
      <c r="D9" s="1"/>
    </row>
    <row r="10" spans="1:4" x14ac:dyDescent="0.25">
      <c r="A10" s="1"/>
      <c r="B10" s="33"/>
      <c r="C10" s="19"/>
      <c r="D10" s="1"/>
    </row>
    <row r="11" spans="1:4" x14ac:dyDescent="0.25">
      <c r="A11" s="1"/>
      <c r="B11" s="116" t="s">
        <v>221</v>
      </c>
      <c r="C11" s="117"/>
      <c r="D11" s="1"/>
    </row>
    <row r="12" spans="1:4" x14ac:dyDescent="0.25">
      <c r="A12" s="1"/>
      <c r="B12" s="118"/>
      <c r="C12" s="119"/>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28PmahDjwLrggmGw7vH+EhNMnj4pyNNAtYRJGQMS4YynNcsi3V9LxC93KHNHkyIwa9wgujN+wxbpIQOhN6s5rA==" saltValue="v3pTcA1GMpzT7kUDpzoYb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2024-10-03T10:40:21Z</dcterms:modified>
</cp:coreProperties>
</file>