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DIN Forsyning Spildevand AS (S01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34" i="11" l="1"/>
  <c r="E35" i="11" s="1"/>
  <c r="F35" i="11"/>
  <c r="G35" i="11"/>
  <c r="E13" i="39"/>
  <c r="C13" i="39"/>
  <c r="E33" i="11" l="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7" i="39"/>
  <c r="C37" i="39"/>
  <c r="E29" i="39"/>
  <c r="C29" i="39"/>
  <c r="E21" i="39"/>
  <c r="E23" i="39" s="1"/>
  <c r="C21" i="39"/>
  <c r="C23" i="39" s="1"/>
  <c r="E15" i="39"/>
  <c r="C15" i="39"/>
  <c r="E39" i="39" l="1"/>
  <c r="E38" i="39"/>
  <c r="C39" i="39"/>
  <c r="C38" i="39"/>
  <c r="E31" i="39"/>
  <c r="E30" i="39"/>
  <c r="C31" i="39"/>
  <c r="C30" i="39"/>
  <c r="E22" i="39"/>
  <c r="E24" i="39" s="1"/>
  <c r="C23" i="15" s="1"/>
  <c r="E14" i="39"/>
  <c r="E16" i="39" s="1"/>
  <c r="C27" i="2" s="1"/>
  <c r="C22" i="39"/>
  <c r="C24" i="39" s="1"/>
  <c r="C22" i="15" s="1"/>
  <c r="C14" i="39"/>
  <c r="E32" i="39" l="1"/>
  <c r="C23" i="22" s="1"/>
  <c r="C40" i="39"/>
  <c r="C22" i="23" s="1"/>
  <c r="C32" i="39"/>
  <c r="C22" i="22" s="1"/>
  <c r="E40" i="39"/>
  <c r="C23" i="23" s="1"/>
  <c r="C16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C10" i="37" l="1"/>
  <c r="C14" i="37" s="1"/>
  <c r="C15" i="37" s="1"/>
  <c r="C10" i="2" s="1"/>
  <c r="E11" i="21" l="1"/>
  <c r="C11" i="21"/>
  <c r="E11" i="29"/>
  <c r="C11" i="29"/>
  <c r="C16" i="19"/>
  <c r="C17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0" i="37"/>
  <c r="E14" i="37" s="1"/>
  <c r="E15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<sst xmlns="http://schemas.openxmlformats.org/spreadsheetml/2006/main" count="734" uniqueCount="292">
  <si>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</si>
  <si>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</si>
  <si>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</si>
  <si>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</si>
  <si>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</si>
  <si>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</si>
  <si>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</si>
  <si>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</si>
  <si>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</si>
  <si>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</si>
  <si>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</si>
  <si>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</si>
  <si>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</si>
  <si>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</si>
  <si>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</si>
  <si>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</si>
  <si>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</si>
  <si>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</si>
  <si>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</si>
  <si>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</si>
  <si>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</si>
  <si>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</si>
  <si>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</si>
  <si>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</si>
  <si>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</si>
  <si>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</si>
  <si>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</si>
  <si>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</si>
  <si>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</si>
  <si>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</si>
  <si>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</si>
  <si>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</si>
  <si>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</si>
  <si>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</si>
  <si>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</si>
  <si>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</si>
  <si>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</si>
  <si>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</si>
  <si>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</si>
  <si>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</si>
  <si>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</si>
  <si>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</si>
  <si>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</si>
  <si>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</si>
  <si>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</si>
  <si>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</si>
  <si>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</si>
  <si>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</si>
  <si>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</si>
  <si>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</si>
  <si>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</si>
  <si>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</si>
  <si>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</si>
  <si>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</si>
  <si>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</si>
  <si>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</si>
  <si>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</si>
  <si>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</si>
  <si>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</si>
  <si>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</si>
  <si>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</si>
  <si>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</si>
  <si>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</si>
  <si>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</si>
  <si>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</si>
  <si>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</si>
  <si>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</si>
  <si>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</si>
  <si>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</si>
  <si>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</si>
  <si>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</si>
  <si>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</si>
  <si>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</si>
  <si>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</si>
  <si>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</si>
  <si>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</si>
  <si>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</si>
  <si>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</si>
  <si>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</si>
  <si>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</si>
  <si>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</si>
  <si>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</si>
  <si>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</si>
  <si>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</si>
  <si>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</si>
  <si>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</si>
  <si>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</si>
  <si>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</si>
  <si>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</si>
  <si>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</si>
  <si>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</si>
  <si>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</si>
  <si>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</si>
  <si>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</si>
  <si>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</si>
  <si>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</si>
  <si>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</si>
  <si>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</si>
  <si>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</si>
  <si>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</si>
  <si>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</si>
  <si>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</si>
  <si>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</si>
  <si>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</si>
  <si>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</si>
  <si>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</si>
  <si>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</si>
  <si>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</si>
  <si>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</si>
  <si>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</si>
  <si>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</si>
  <si>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</si>
  <si>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</si>
  <si>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</si>
  <si>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</si>
  <si>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</si>
  <si>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</si>
  <si>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</si>
  <si>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</si>
  <si>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</si>
  <si>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</si>
  <si>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</si>
  <si>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</si>
  <si>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</si>
  <si>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</si>
  <si>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</si>
  <si>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</si>
  <si>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</si>
  <si>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</si>
  <si>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</si>
  <si>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</si>
  <si>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</si>
  <si>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</si>
  <si>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</si>
  <si>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</si>
  <si>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</si>
  <si>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</si>
  <si>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</si>
  <si>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</si>
  <si>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</si>
  <si>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</si>
  <si>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</si>
  <si>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</si>
  <si>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</si>
  <si>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</si>
  <si>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</si>
  <si>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</si>
  <si>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</si>
  <si>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</si>
  <si>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</si>
  <si>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</si>
  <si>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</si>
  <si>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</si>
  <si>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</si>
  <si>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</si>
  <si>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</si>
  <si>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</si>
  <si>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</si>
  <si>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</si>
  <si>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</si>
  <si>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</si>
  <si>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</si>
  <si>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</si>
  <si>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</si>
  <si>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</si>
  <si>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</si>
  <si>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</si>
  <si>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</si>
  <si>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</si>
  <si>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</si>
  <si>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</si>
  <si>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</si>
  <si>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</si>
  <si>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</si>
  <si>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</si>
  <si>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</si>
  <si>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</si>
  <si>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</si>
  <si>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</si>
  <si>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</si>
  <si>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</si>
  <si>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</si>
  <si>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</si>
  <si>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</si>
  <si>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</si>
  <si>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</si>
  <si>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</si>
  <si>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</si>
  <si>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</si>
  <si>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</si>
  <si>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</si>
  <si>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</si>
  <si>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</si>
  <si>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</si>
  <si>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</si>
  <si>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</si>
  <si>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</si>
  <si>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</si>
  <si>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</si>
  <si>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</si>
  <si>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</si>
  <si>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</si>
  <si>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</si>
  <si>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</si>
  <si>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</si>
  <si>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</si>
  <si>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</si>
  <si>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</si>
  <si>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</si>
  <si>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</si>
  <si>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</si>
  <si>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</si>
  <si>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</si>
  <si>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</si>
  <si>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</si>
  <si>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</si>
  <si>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</si>
  <si>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</si>
  <si>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</si>
  <si>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</si>
  <si>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</si>
  <si>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</si>
  <si>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</si>
  <si>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</si>
  <si>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</si>
  <si>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</si>
  <si>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</si>
  <si>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</si>
  <si>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</si>
  <si>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</si>
  <si>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</si>
  <si>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</si>
  <si>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</si>
  <si>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</si>
  <si>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</si>
  <si>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</si>
  <si>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</si>
  <si>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</si>
  <si>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</si>
  <si>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</si>
  <si>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</si>
  <si>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</si>
  <si>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</si>
  <si>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</si>
  <si>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</si>
  <si>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</si>
  <si>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</si>
  <si>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</si>
  <si>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</si>
  <si>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</si>
  <si>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</si>
  <si>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</si>
  <si>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</si>
  <si>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</si>
  <si>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</si>
  <si>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</si>
  <si>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</si>
  <si>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</si>
  <si>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</si>
  <si>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Byggemodninger og nye tilslutninger</t>
  </si>
  <si>
    <t>Glycom</t>
  </si>
  <si>
    <t>Oprensning af regnvandsbassiner</t>
  </si>
  <si>
    <t>Ingen engangstillæg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</si>
  <si>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</si>
  <si>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</si>
  <si>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</si>
  <si>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</si>
  <si>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</si>
  <si>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Erstatninger</t>
  </si>
  <si>
    <t>Beluftningstanke, SRO</t>
  </si>
  <si>
    <t>Beluftningstanke, Mek/EL</t>
  </si>
  <si>
    <t>Forafvanding, slam, SRO</t>
  </si>
  <si>
    <t>Forafvanding, slam, Mek/EL</t>
  </si>
  <si>
    <t>Jordbassin Klasse A</t>
  </si>
  <si>
    <t>Brønde</t>
  </si>
  <si>
    <t>Indløb-/udløbsarrangement</t>
  </si>
  <si>
    <t>Ledningsnet ≤ Ø 200 mm</t>
  </si>
  <si>
    <t>Ø 1200 mm &lt; Ledningsnet ≤ Ø 1600 mm</t>
  </si>
  <si>
    <t>Ø 200 mm &lt; Ledningsnet ≤ Ø 500 mm</t>
  </si>
  <si>
    <t>Strømpeforing ≤ Ø 200 mm</t>
  </si>
  <si>
    <t>Ø 500 mm &lt; Ledningsnet ≤ Ø 800 mm</t>
  </si>
  <si>
    <t>Pumpestationer i brønde (&lt; 6,25 m2), SRO</t>
  </si>
  <si>
    <t>Pumpestationer i underjordiske bygværker (&lt;50 m2), SRO</t>
  </si>
  <si>
    <t>Pumpestationer i brønde (&lt; 6,25 m2), Mek/EL</t>
  </si>
  <si>
    <t>Pumpestationer i underjordiske bygværker (&lt;50 m2), Mek/El</t>
  </si>
  <si>
    <t>Pumpestationer i brønde (&lt; 6,25 m2), Konstruktioner</t>
  </si>
  <si>
    <t>Pumpestationer i underjordiske bygværker (&lt;50 m2), Konstruktioner</t>
  </si>
  <si>
    <t>Anlægsprojekter igangsat senest 1. marts 2016</t>
  </si>
  <si>
    <t>Videreførte omkostninger fra den økonomiske ramme for 2022</t>
  </si>
  <si>
    <t>Stiftelsesprovision - udvidelse af forsyningsområdet</t>
  </si>
  <si>
    <t>Stiftelsesprovision - anlægsprojekter igangsat senest den 1. marts 2019</t>
  </si>
  <si>
    <t>Garantiprovision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</si>
</sst>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172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52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23</v>
      </c>
      <c r="D14" s="71" t="s">
        <v>54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51</v>
      </c>
      <c r="D15" s="71" t="s">
        <v>135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53</v>
      </c>
      <c r="D16" s="71" t="s">
        <v>136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241</v>
      </c>
      <c r="D17" s="71" t="s">
        <v>63</v>
      </c>
      <c r="E17" s="72"/>
      <c r="F17" s="72"/>
      <c r="G17" s="73"/>
      <c r="H17" s="1"/>
      <c r="I17" s="1"/>
    </row>
    <row r="18" spans="1:9" x14ac:dyDescent="0.25">
      <c r="A18" s="1"/>
      <c r="B18" s="1"/>
      <c r="C18" s="6" t="s">
        <v>212</v>
      </c>
      <c r="D18" s="65" t="s">
        <v>180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213</v>
      </c>
      <c r="D19" s="65" t="s">
        <v>181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</v>
      </c>
      <c r="D20" s="65" t="s">
        <v>10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214</v>
      </c>
      <c r="D21" s="75" t="s">
        <v>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142</v>
      </c>
      <c r="D22" s="59" t="s">
        <v>176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249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55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215</v>
      </c>
      <c r="D25" s="59" t="s">
        <v>143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216</v>
      </c>
      <c r="D26" s="59" t="s">
        <v>144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217</v>
      </c>
      <c r="D27" s="59" t="s">
        <v>145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22</v>
      </c>
      <c r="D28" s="59" t="s">
        <v>56</v>
      </c>
      <c r="E28" s="60"/>
      <c r="F28" s="60"/>
      <c r="G28" s="61"/>
      <c r="H28" s="1"/>
      <c r="I28" s="1"/>
    </row>
    <row r="29" spans="1:9" x14ac:dyDescent="0.25">
      <c r="A29" s="1"/>
      <c r="B29" s="1"/>
      <c r="C29" s="6" t="s">
        <v>58</v>
      </c>
      <c r="D29" s="59" t="s">
        <v>57</v>
      </c>
      <c r="E29" s="60"/>
      <c r="F29" s="60"/>
      <c r="G29" s="61"/>
      <c r="H29" s="1"/>
      <c r="I29" s="1"/>
    </row>
    <row r="30" spans="1:9" x14ac:dyDescent="0.25">
      <c r="A30" s="1"/>
      <c r="B30" s="1"/>
      <c r="C30" s="6" t="s">
        <v>59</v>
      </c>
      <c r="D30" s="68" t="s">
        <v>11</v>
      </c>
      <c r="E30" s="69"/>
      <c r="F30" s="69"/>
      <c r="G30" s="70"/>
      <c r="H30" s="1"/>
      <c r="I30" s="1"/>
    </row>
    <row r="31" spans="1:9" x14ac:dyDescent="0.25">
      <c r="A31" s="1"/>
      <c r="B31" s="1"/>
      <c r="C31" s="6" t="s">
        <v>175</v>
      </c>
      <c r="D31" s="62" t="s">
        <v>207</v>
      </c>
      <c r="E31" s="63"/>
      <c r="F31" s="63"/>
      <c r="G31" s="6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4QJwGCHsqTE5YRWE9yTk2jyvuFSr7sxGNStg2Hj6GUKNiEA5Gk1OIH6oFAliDal1vDAeqO70Ng3+WZAJZwzILw==" saltValue="UZ7+fW4y9irVvFkq0n/4L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0" t="s">
        <v>220</v>
      </c>
      <c r="C3" s="80"/>
      <c r="D3" s="80"/>
      <c r="E3" s="1"/>
      <c r="F3" s="1"/>
    </row>
    <row r="4" spans="1:6" ht="15" customHeight="1" x14ac:dyDescent="0.25">
      <c r="A4" s="1"/>
      <c r="B4" s="80"/>
      <c r="C4" s="80"/>
      <c r="D4" s="8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5" t="s">
        <v>66</v>
      </c>
      <c r="C8" s="86"/>
      <c r="D8" s="87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6" t="s">
        <v>263</v>
      </c>
      <c r="C10" s="9">
        <v>4385235</v>
      </c>
      <c r="D10" s="14" t="s">
        <v>3</v>
      </c>
      <c r="E10" s="1"/>
      <c r="F10" s="1"/>
    </row>
    <row r="11" spans="1:6" x14ac:dyDescent="0.25">
      <c r="A11" s="1"/>
      <c r="B11" s="56" t="s">
        <v>264</v>
      </c>
      <c r="C11" s="9">
        <v>130387</v>
      </c>
      <c r="D11" s="14" t="s">
        <v>3</v>
      </c>
      <c r="E11" s="1"/>
      <c r="F11" s="1"/>
    </row>
    <row r="12" spans="1:6" ht="26.25" x14ac:dyDescent="0.25">
      <c r="A12" s="1"/>
      <c r="B12" s="35" t="s">
        <v>265</v>
      </c>
      <c r="C12" s="9">
        <v>921184</v>
      </c>
      <c r="D12" s="14" t="s">
        <v>3</v>
      </c>
      <c r="E12" s="1"/>
      <c r="F12" s="1"/>
    </row>
    <row r="13" spans="1:6" x14ac:dyDescent="0.25">
      <c r="A13" s="1"/>
      <c r="B13" s="56" t="s">
        <v>266</v>
      </c>
      <c r="C13" s="9">
        <v>181628</v>
      </c>
      <c r="D13" s="14" t="s">
        <v>3</v>
      </c>
      <c r="E13" s="1"/>
      <c r="F13" s="1"/>
    </row>
    <row r="14" spans="1:6" x14ac:dyDescent="0.25">
      <c r="A14" s="1"/>
      <c r="B14" s="56" t="s">
        <v>267</v>
      </c>
      <c r="C14" s="9">
        <v>353054</v>
      </c>
      <c r="D14" s="14" t="s">
        <v>3</v>
      </c>
      <c r="E14" s="1"/>
      <c r="F14" s="1"/>
    </row>
    <row r="15" spans="1:6" x14ac:dyDescent="0.25">
      <c r="A15" s="1"/>
      <c r="B15" s="56" t="s">
        <v>268</v>
      </c>
      <c r="C15" s="9">
        <v>456070</v>
      </c>
      <c r="D15" s="14" t="s">
        <v>3</v>
      </c>
      <c r="E15" s="1"/>
      <c r="F15" s="1"/>
    </row>
    <row r="16" spans="1:6" x14ac:dyDescent="0.25">
      <c r="A16" s="1"/>
      <c r="B16" s="40" t="s">
        <v>68</v>
      </c>
      <c r="C16" s="12">
        <f>SUM(C10:C15)</f>
        <v>6427558</v>
      </c>
      <c r="D16" s="13" t="s">
        <v>3</v>
      </c>
      <c r="E16" s="1"/>
      <c r="F16" s="1"/>
    </row>
    <row r="17" spans="1:6" x14ac:dyDescent="0.25">
      <c r="A17" s="1"/>
      <c r="B17" s="40" t="s">
        <v>69</v>
      </c>
      <c r="C17" s="12">
        <f>C16*(1+'Fane 15. Nøgletal'!C12)^2</f>
        <v>6683298.2561842203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5" t="s">
        <v>236</v>
      </c>
      <c r="C20" s="86"/>
      <c r="D20" s="87"/>
      <c r="E20" s="1"/>
      <c r="F20" s="1"/>
    </row>
    <row r="21" spans="1:6" x14ac:dyDescent="0.25">
      <c r="A21" s="1"/>
      <c r="B21" s="56" t="s">
        <v>197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6" t="s">
        <v>198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6" t="s">
        <v>199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6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85"/>
      <c r="C25" s="86"/>
      <c r="D25" s="87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5" t="s">
        <v>196</v>
      </c>
      <c r="C28" s="86"/>
      <c r="D28" s="87"/>
      <c r="E28" s="1"/>
      <c r="F28" s="1"/>
    </row>
    <row r="29" spans="1:6" x14ac:dyDescent="0.25">
      <c r="A29" s="1"/>
      <c r="B29" s="56" t="s">
        <v>197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6" t="s">
        <v>198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6" t="s">
        <v>199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6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5"/>
      <c r="C33" s="86"/>
      <c r="D33" s="87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U3lDwimddTVi1VAh5QWw6MEHp3C2f7RHDKgpIuKJsCmdgB+4ibZteXhwkhcfTLGByzuolIJ3UaqQpJ7/+08oZQ==" saltValue="7iFQqrziJZSeLqDu627O2A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226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5" t="s">
        <v>183</v>
      </c>
      <c r="C8" s="86"/>
      <c r="D8" s="86"/>
      <c r="E8" s="86"/>
      <c r="F8" s="87"/>
      <c r="G8" s="1"/>
    </row>
    <row r="9" spans="1:7" x14ac:dyDescent="0.25">
      <c r="A9" s="1"/>
      <c r="B9" s="98" t="s">
        <v>184</v>
      </c>
      <c r="C9" s="99"/>
      <c r="D9" s="100"/>
      <c r="E9" s="9">
        <v>226705698</v>
      </c>
      <c r="F9" s="14" t="s">
        <v>3</v>
      </c>
      <c r="G9" s="1"/>
    </row>
    <row r="10" spans="1:7" x14ac:dyDescent="0.25">
      <c r="A10" s="1"/>
      <c r="B10" s="98" t="s">
        <v>185</v>
      </c>
      <c r="C10" s="99"/>
      <c r="D10" s="100"/>
      <c r="E10" s="9">
        <v>244037436</v>
      </c>
      <c r="F10" s="14" t="s">
        <v>3</v>
      </c>
      <c r="G10" s="1"/>
    </row>
    <row r="11" spans="1:7" x14ac:dyDescent="0.25">
      <c r="A11" s="1"/>
      <c r="B11" s="98" t="s">
        <v>50</v>
      </c>
      <c r="C11" s="99"/>
      <c r="D11" s="100"/>
      <c r="E11" s="9">
        <v>177686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-17154052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2" t="s">
        <v>208</v>
      </c>
      <c r="C14" s="83"/>
      <c r="D14" s="83"/>
      <c r="E14" s="83"/>
      <c r="F14" s="84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5" t="s">
        <v>73</v>
      </c>
      <c r="C17" s="86"/>
      <c r="D17" s="86"/>
      <c r="E17" s="86"/>
      <c r="F17" s="87"/>
      <c r="G17" s="1"/>
    </row>
    <row r="18" spans="1:7" x14ac:dyDescent="0.25">
      <c r="A18" s="1"/>
      <c r="B18" s="98" t="s">
        <v>74</v>
      </c>
      <c r="C18" s="99"/>
      <c r="D18" s="100"/>
      <c r="E18" s="9">
        <v>251179548.27643007</v>
      </c>
      <c r="F18" s="14" t="s">
        <v>3</v>
      </c>
      <c r="G18" s="1"/>
    </row>
    <row r="19" spans="1:7" x14ac:dyDescent="0.25">
      <c r="A19" s="1"/>
      <c r="B19" s="98" t="s">
        <v>75</v>
      </c>
      <c r="C19" s="99"/>
      <c r="D19" s="100"/>
      <c r="E19" s="9">
        <v>253356533</v>
      </c>
      <c r="F19" s="14" t="s">
        <v>3</v>
      </c>
      <c r="G19" s="1"/>
    </row>
    <row r="20" spans="1:7" x14ac:dyDescent="0.25">
      <c r="A20" s="1"/>
      <c r="B20" s="98" t="s">
        <v>50</v>
      </c>
      <c r="C20" s="99"/>
      <c r="D20" s="100"/>
      <c r="E20" s="9">
        <v>152000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-2024984.7235699296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5" t="s">
        <v>179</v>
      </c>
      <c r="C25" s="86"/>
      <c r="D25" s="86"/>
      <c r="E25" s="86"/>
      <c r="F25" s="87"/>
      <c r="G25" s="1"/>
    </row>
    <row r="26" spans="1:7" x14ac:dyDescent="0.25">
      <c r="A26" s="1"/>
      <c r="B26" s="106" t="s">
        <v>174</v>
      </c>
      <c r="C26" s="107"/>
      <c r="D26" s="108"/>
      <c r="E26" s="9">
        <f>IF(E12+E21&lt;0,E12+E21,0)</f>
        <v>-19179036.72356993</v>
      </c>
      <c r="F26" s="14" t="s">
        <v>3</v>
      </c>
      <c r="G26" s="1"/>
    </row>
    <row r="27" spans="1:7" x14ac:dyDescent="0.25">
      <c r="A27" s="1"/>
      <c r="B27" s="106" t="s">
        <v>204</v>
      </c>
      <c r="C27" s="107"/>
      <c r="D27" s="108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-9589518.3617849648</v>
      </c>
      <c r="F28" s="17" t="s">
        <v>3</v>
      </c>
      <c r="G28" s="1"/>
    </row>
    <row r="29" spans="1:7" x14ac:dyDescent="0.25">
      <c r="A29" s="1"/>
      <c r="B29" s="109"/>
      <c r="C29" s="110"/>
      <c r="D29" s="110"/>
      <c r="E29" s="110"/>
      <c r="F29" s="11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ER5cA7Obk9jHO673NngrjNXEGjPIOEew3l7BU7oE8sFRpKOTavN+WMjGClTDzJ7By6Pqzt2zq7hExJu9ti0tg==" saltValue="hROYiX3dmvk37eWVfDgvP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252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5" t="s">
        <v>177</v>
      </c>
      <c r="C9" s="86"/>
      <c r="D9" s="86"/>
      <c r="E9" s="86"/>
      <c r="F9" s="86"/>
      <c r="G9" s="1"/>
    </row>
    <row r="10" spans="1:7" x14ac:dyDescent="0.25">
      <c r="A10" s="1"/>
      <c r="B10" s="82" t="s">
        <v>201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98" t="s">
        <v>202</v>
      </c>
      <c r="C11" s="99"/>
      <c r="D11" s="100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85" t="s">
        <v>178</v>
      </c>
      <c r="C13" s="86"/>
      <c r="D13" s="86"/>
      <c r="E13" s="86"/>
      <c r="F13" s="86"/>
      <c r="G13" s="1"/>
    </row>
    <row r="14" spans="1:7" x14ac:dyDescent="0.25">
      <c r="A14" s="1"/>
      <c r="B14" s="98" t="s">
        <v>210</v>
      </c>
      <c r="C14" s="99"/>
      <c r="D14" s="100"/>
      <c r="E14" s="9"/>
      <c r="F14" s="8" t="s">
        <v>3</v>
      </c>
      <c r="G14" s="1"/>
    </row>
    <row r="15" spans="1:7" x14ac:dyDescent="0.25">
      <c r="A15" s="1"/>
      <c r="B15" s="82" t="s">
        <v>211</v>
      </c>
      <c r="C15" s="83"/>
      <c r="D15" s="84"/>
      <c r="E15" s="9"/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5" t="s">
        <v>173</v>
      </c>
      <c r="C17" s="86"/>
      <c r="D17" s="86"/>
      <c r="E17" s="86"/>
      <c r="F17" s="86"/>
      <c r="G17" s="1"/>
    </row>
    <row r="18" spans="1:7" ht="28.15" customHeight="1" x14ac:dyDescent="0.25">
      <c r="A18" s="1"/>
      <c r="B18" s="82" t="s">
        <v>258</v>
      </c>
      <c r="C18" s="83"/>
      <c r="D18" s="84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yRhiHTaoVLd4GNZp4D65KrjuTN1yEQqVqM4Efsd29U/JPJ4nhRl+AZAuE+Zwe6+hCg7V+D0qQvh6dPS1+PqxQ==" saltValue="nht0YL5YnpPYUvrrSBK5h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253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254</v>
      </c>
      <c r="C8" s="86"/>
      <c r="D8" s="86"/>
      <c r="E8" s="86"/>
      <c r="F8" s="86"/>
      <c r="G8" s="86"/>
      <c r="H8" s="8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8" t="s">
        <v>269</v>
      </c>
      <c r="C10" s="45">
        <v>10</v>
      </c>
      <c r="D10" s="9">
        <v>83891</v>
      </c>
      <c r="E10" s="9">
        <f>IFERROR(D10/C10,0)</f>
        <v>8389.1</v>
      </c>
      <c r="F10" s="9">
        <v>0</v>
      </c>
      <c r="G10" s="9">
        <v>3070</v>
      </c>
      <c r="H10" s="14" t="s">
        <v>3</v>
      </c>
      <c r="I10" s="1"/>
    </row>
    <row r="11" spans="1:9" x14ac:dyDescent="0.25">
      <c r="A11" s="1"/>
      <c r="B11" s="58" t="s">
        <v>270</v>
      </c>
      <c r="C11" s="45">
        <v>20</v>
      </c>
      <c r="D11" s="9">
        <v>559970</v>
      </c>
      <c r="E11" s="9">
        <f t="shared" ref="E11:E34" si="0">IFERROR(D11/C11,0)</f>
        <v>27998.5</v>
      </c>
      <c r="F11" s="9">
        <v>0</v>
      </c>
      <c r="G11" s="9">
        <v>20495</v>
      </c>
      <c r="H11" s="14" t="s">
        <v>3</v>
      </c>
      <c r="I11" s="1"/>
    </row>
    <row r="12" spans="1:9" x14ac:dyDescent="0.25">
      <c r="A12" s="1"/>
      <c r="B12" s="58" t="s">
        <v>271</v>
      </c>
      <c r="C12" s="45">
        <v>10</v>
      </c>
      <c r="D12" s="9">
        <v>246876</v>
      </c>
      <c r="E12" s="9">
        <f t="shared" si="0"/>
        <v>24687.599999999999</v>
      </c>
      <c r="F12" s="9">
        <v>0</v>
      </c>
      <c r="G12" s="9">
        <v>9036</v>
      </c>
      <c r="H12" s="14" t="s">
        <v>3</v>
      </c>
      <c r="I12" s="1"/>
    </row>
    <row r="13" spans="1:9" ht="26.25" x14ac:dyDescent="0.25">
      <c r="A13" s="1"/>
      <c r="B13" s="58" t="s">
        <v>272</v>
      </c>
      <c r="C13" s="45">
        <v>20</v>
      </c>
      <c r="D13" s="9">
        <v>2394382</v>
      </c>
      <c r="E13" s="9">
        <f t="shared" si="0"/>
        <v>119719.1</v>
      </c>
      <c r="F13" s="9">
        <v>0</v>
      </c>
      <c r="G13" s="9">
        <v>87634</v>
      </c>
      <c r="H13" s="14" t="s">
        <v>3</v>
      </c>
      <c r="I13" s="1"/>
    </row>
    <row r="14" spans="1:9" x14ac:dyDescent="0.25">
      <c r="A14" s="1"/>
      <c r="B14" s="58" t="s">
        <v>273</v>
      </c>
      <c r="C14" s="45">
        <v>50</v>
      </c>
      <c r="D14" s="9">
        <v>3113224</v>
      </c>
      <c r="E14" s="9">
        <f t="shared" si="0"/>
        <v>62264.480000000003</v>
      </c>
      <c r="F14" s="9">
        <v>0</v>
      </c>
      <c r="G14" s="9">
        <v>113944</v>
      </c>
      <c r="H14" s="14" t="s">
        <v>3</v>
      </c>
      <c r="I14" s="1"/>
    </row>
    <row r="15" spans="1:9" x14ac:dyDescent="0.25">
      <c r="A15" s="1"/>
      <c r="B15" s="58" t="s">
        <v>274</v>
      </c>
      <c r="C15" s="45">
        <v>75</v>
      </c>
      <c r="D15" s="9">
        <v>15017</v>
      </c>
      <c r="E15" s="9">
        <f t="shared" si="0"/>
        <v>200.22666666666666</v>
      </c>
      <c r="F15" s="9">
        <v>0</v>
      </c>
      <c r="G15" s="9">
        <v>550</v>
      </c>
      <c r="H15" s="14" t="s">
        <v>3</v>
      </c>
      <c r="I15" s="1"/>
    </row>
    <row r="16" spans="1:9" x14ac:dyDescent="0.25">
      <c r="A16" s="1"/>
      <c r="B16" s="58" t="s">
        <v>275</v>
      </c>
      <c r="C16" s="45">
        <v>75</v>
      </c>
      <c r="D16" s="9">
        <v>18313</v>
      </c>
      <c r="E16" s="9">
        <f t="shared" si="0"/>
        <v>244.17333333333335</v>
      </c>
      <c r="F16" s="9">
        <v>0</v>
      </c>
      <c r="G16" s="9">
        <v>670</v>
      </c>
      <c r="H16" s="14" t="s">
        <v>3</v>
      </c>
      <c r="I16" s="1"/>
    </row>
    <row r="17" spans="1:9" x14ac:dyDescent="0.25">
      <c r="A17" s="1"/>
      <c r="B17" s="58" t="s">
        <v>276</v>
      </c>
      <c r="C17" s="45">
        <v>75</v>
      </c>
      <c r="D17" s="9">
        <v>324705</v>
      </c>
      <c r="E17" s="9">
        <f t="shared" si="0"/>
        <v>4329.3999999999996</v>
      </c>
      <c r="F17" s="9">
        <v>0</v>
      </c>
      <c r="G17" s="9">
        <v>11884</v>
      </c>
      <c r="H17" s="14" t="s">
        <v>3</v>
      </c>
      <c r="I17" s="1"/>
    </row>
    <row r="18" spans="1:9" ht="26.25" x14ac:dyDescent="0.25">
      <c r="A18" s="1"/>
      <c r="B18" s="58" t="s">
        <v>277</v>
      </c>
      <c r="C18" s="45">
        <v>75</v>
      </c>
      <c r="D18" s="9">
        <v>188103</v>
      </c>
      <c r="E18" s="9">
        <f t="shared" si="0"/>
        <v>2508.04</v>
      </c>
      <c r="F18" s="9">
        <v>0</v>
      </c>
      <c r="G18" s="9">
        <v>6885</v>
      </c>
      <c r="H18" s="14" t="s">
        <v>3</v>
      </c>
      <c r="I18" s="1"/>
    </row>
    <row r="19" spans="1:9" ht="26.25" x14ac:dyDescent="0.25">
      <c r="A19" s="1"/>
      <c r="B19" s="58" t="s">
        <v>278</v>
      </c>
      <c r="C19" s="45">
        <v>75</v>
      </c>
      <c r="D19" s="9">
        <v>20875</v>
      </c>
      <c r="E19" s="9">
        <f t="shared" si="0"/>
        <v>278.33333333333331</v>
      </c>
      <c r="F19" s="9">
        <v>0</v>
      </c>
      <c r="G19" s="9">
        <v>764</v>
      </c>
      <c r="H19" s="14" t="s">
        <v>3</v>
      </c>
      <c r="I19" s="1"/>
    </row>
    <row r="20" spans="1:9" x14ac:dyDescent="0.25">
      <c r="A20" s="1"/>
      <c r="B20" s="58" t="s">
        <v>279</v>
      </c>
      <c r="C20" s="45">
        <v>50</v>
      </c>
      <c r="D20" s="9">
        <v>633891</v>
      </c>
      <c r="E20" s="9">
        <f t="shared" si="0"/>
        <v>12677.82</v>
      </c>
      <c r="F20" s="9">
        <v>0</v>
      </c>
      <c r="G20" s="9">
        <v>23200</v>
      </c>
      <c r="H20" s="14" t="s">
        <v>3</v>
      </c>
      <c r="I20" s="1"/>
    </row>
    <row r="21" spans="1:9" x14ac:dyDescent="0.25">
      <c r="A21" s="1"/>
      <c r="B21" s="58" t="s">
        <v>274</v>
      </c>
      <c r="C21" s="45">
        <v>75</v>
      </c>
      <c r="D21" s="9">
        <v>97538</v>
      </c>
      <c r="E21" s="9">
        <f t="shared" si="0"/>
        <v>1300.5066666666667</v>
      </c>
      <c r="F21" s="9">
        <v>0</v>
      </c>
      <c r="G21" s="9">
        <v>3570</v>
      </c>
      <c r="H21" s="14" t="s">
        <v>3</v>
      </c>
      <c r="I21" s="1"/>
    </row>
    <row r="22" spans="1:9" x14ac:dyDescent="0.25">
      <c r="A22" s="1"/>
      <c r="B22" s="58" t="s">
        <v>276</v>
      </c>
      <c r="C22" s="45">
        <v>75</v>
      </c>
      <c r="D22" s="9">
        <v>164059</v>
      </c>
      <c r="E22" s="9">
        <f t="shared" si="0"/>
        <v>2187.4533333333334</v>
      </c>
      <c r="F22" s="9">
        <v>0</v>
      </c>
      <c r="G22" s="9">
        <v>6005</v>
      </c>
      <c r="H22" s="14" t="s">
        <v>3</v>
      </c>
      <c r="I22" s="1"/>
    </row>
    <row r="23" spans="1:9" ht="26.25" x14ac:dyDescent="0.25">
      <c r="A23" s="1"/>
      <c r="B23" s="58" t="s">
        <v>278</v>
      </c>
      <c r="C23" s="45">
        <v>75</v>
      </c>
      <c r="D23" s="9">
        <v>50017</v>
      </c>
      <c r="E23" s="9">
        <f t="shared" si="0"/>
        <v>666.89333333333332</v>
      </c>
      <c r="F23" s="9">
        <v>0</v>
      </c>
      <c r="G23" s="9">
        <v>1831</v>
      </c>
      <c r="H23" s="14" t="s">
        <v>3</v>
      </c>
      <c r="I23" s="1"/>
    </row>
    <row r="24" spans="1:9" ht="26.25" x14ac:dyDescent="0.25">
      <c r="A24" s="1"/>
      <c r="B24" s="58" t="s">
        <v>280</v>
      </c>
      <c r="C24" s="45">
        <v>75</v>
      </c>
      <c r="D24" s="9">
        <v>414022</v>
      </c>
      <c r="E24" s="9">
        <f t="shared" si="0"/>
        <v>5520.2933333333331</v>
      </c>
      <c r="F24" s="9">
        <v>0</v>
      </c>
      <c r="G24" s="9">
        <v>15153</v>
      </c>
      <c r="H24" s="14" t="s">
        <v>3</v>
      </c>
      <c r="I24" s="1"/>
    </row>
    <row r="25" spans="1:9" ht="26.25" x14ac:dyDescent="0.25">
      <c r="A25" s="1"/>
      <c r="B25" s="58" t="s">
        <v>281</v>
      </c>
      <c r="C25" s="45">
        <v>10</v>
      </c>
      <c r="D25" s="9">
        <v>156186</v>
      </c>
      <c r="E25" s="9">
        <f t="shared" si="0"/>
        <v>15618.6</v>
      </c>
      <c r="F25" s="9">
        <v>0</v>
      </c>
      <c r="G25" s="9">
        <v>5716</v>
      </c>
      <c r="H25" s="14" t="s">
        <v>3</v>
      </c>
      <c r="I25" s="1"/>
    </row>
    <row r="26" spans="1:9" ht="39" x14ac:dyDescent="0.25">
      <c r="A26" s="1"/>
      <c r="B26" s="58" t="s">
        <v>282</v>
      </c>
      <c r="C26" s="45">
        <v>10</v>
      </c>
      <c r="D26" s="9">
        <v>74374</v>
      </c>
      <c r="E26" s="9">
        <f t="shared" si="0"/>
        <v>7437.4</v>
      </c>
      <c r="F26" s="9">
        <v>0</v>
      </c>
      <c r="G26" s="9">
        <v>2722</v>
      </c>
      <c r="H26" s="14" t="s">
        <v>3</v>
      </c>
      <c r="I26" s="1"/>
    </row>
    <row r="27" spans="1:9" ht="26.25" x14ac:dyDescent="0.25">
      <c r="A27" s="1"/>
      <c r="B27" s="58" t="s">
        <v>283</v>
      </c>
      <c r="C27" s="45">
        <v>20</v>
      </c>
      <c r="D27" s="9">
        <v>1160238</v>
      </c>
      <c r="E27" s="9">
        <f t="shared" si="0"/>
        <v>58011.9</v>
      </c>
      <c r="F27" s="9">
        <v>0</v>
      </c>
      <c r="G27" s="9">
        <v>42465</v>
      </c>
      <c r="H27" s="14" t="s">
        <v>3</v>
      </c>
      <c r="I27" s="1"/>
    </row>
    <row r="28" spans="1:9" ht="39" x14ac:dyDescent="0.25">
      <c r="A28" s="1"/>
      <c r="B28" s="58" t="s">
        <v>284</v>
      </c>
      <c r="C28" s="45">
        <v>20</v>
      </c>
      <c r="D28" s="9">
        <v>594994</v>
      </c>
      <c r="E28" s="9">
        <f t="shared" si="0"/>
        <v>29749.7</v>
      </c>
      <c r="F28" s="9">
        <v>0</v>
      </c>
      <c r="G28" s="9">
        <v>21777</v>
      </c>
      <c r="H28" s="14" t="s">
        <v>3</v>
      </c>
      <c r="I28" s="1"/>
    </row>
    <row r="29" spans="1:9" ht="26.25" x14ac:dyDescent="0.25">
      <c r="A29" s="1"/>
      <c r="B29" s="58" t="s">
        <v>285</v>
      </c>
      <c r="C29" s="45">
        <v>50</v>
      </c>
      <c r="D29" s="9">
        <v>2592687</v>
      </c>
      <c r="E29" s="9">
        <f t="shared" si="0"/>
        <v>51853.74</v>
      </c>
      <c r="F29" s="9">
        <v>0</v>
      </c>
      <c r="G29" s="9">
        <v>94892</v>
      </c>
      <c r="H29" s="14" t="s">
        <v>3</v>
      </c>
      <c r="I29" s="1"/>
    </row>
    <row r="30" spans="1:9" ht="39" x14ac:dyDescent="0.25">
      <c r="A30" s="1"/>
      <c r="B30" s="58" t="s">
        <v>286</v>
      </c>
      <c r="C30" s="45">
        <v>50</v>
      </c>
      <c r="D30" s="9">
        <v>1487485</v>
      </c>
      <c r="E30" s="9">
        <f t="shared" si="0"/>
        <v>29749.7</v>
      </c>
      <c r="F30" s="9">
        <v>0</v>
      </c>
      <c r="G30" s="9">
        <v>54442</v>
      </c>
      <c r="H30" s="14" t="s">
        <v>3</v>
      </c>
      <c r="I30" s="1"/>
    </row>
    <row r="31" spans="1:9" x14ac:dyDescent="0.25">
      <c r="A31" s="1"/>
      <c r="B31" s="58" t="s">
        <v>274</v>
      </c>
      <c r="C31" s="45">
        <v>75</v>
      </c>
      <c r="D31" s="9">
        <v>414711</v>
      </c>
      <c r="E31" s="9">
        <f t="shared" si="0"/>
        <v>5529.48</v>
      </c>
      <c r="F31" s="9">
        <v>0</v>
      </c>
      <c r="G31" s="9">
        <v>15178</v>
      </c>
      <c r="H31" s="14" t="s">
        <v>3</v>
      </c>
      <c r="I31" s="1"/>
    </row>
    <row r="32" spans="1:9" x14ac:dyDescent="0.25">
      <c r="A32" s="1"/>
      <c r="B32" s="58" t="s">
        <v>276</v>
      </c>
      <c r="C32" s="45">
        <v>75</v>
      </c>
      <c r="D32" s="9">
        <v>8048670</v>
      </c>
      <c r="E32" s="9">
        <f t="shared" si="0"/>
        <v>107315.6</v>
      </c>
      <c r="F32" s="9">
        <v>86573</v>
      </c>
      <c r="G32" s="9">
        <v>294581</v>
      </c>
      <c r="H32" s="14" t="s">
        <v>3</v>
      </c>
      <c r="I32" s="1"/>
    </row>
    <row r="33" spans="1:9" ht="26.25" x14ac:dyDescent="0.25">
      <c r="A33" s="1"/>
      <c r="B33" s="58" t="s">
        <v>278</v>
      </c>
      <c r="C33" s="45">
        <v>75</v>
      </c>
      <c r="D33" s="9">
        <v>3463396</v>
      </c>
      <c r="E33" s="9">
        <f t="shared" si="0"/>
        <v>46178.613333333335</v>
      </c>
      <c r="F33" s="9">
        <v>19958</v>
      </c>
      <c r="G33" s="9">
        <v>126760</v>
      </c>
      <c r="H33" s="14" t="s">
        <v>3</v>
      </c>
      <c r="I33" s="1"/>
    </row>
    <row r="34" spans="1:9" x14ac:dyDescent="0.25">
      <c r="A34" s="1"/>
      <c r="B34" s="58" t="s">
        <v>291</v>
      </c>
      <c r="C34" s="45">
        <v>0</v>
      </c>
      <c r="D34" s="9">
        <v>0</v>
      </c>
      <c r="E34" s="9">
        <f t="shared" si="0"/>
        <v>0</v>
      </c>
      <c r="F34" s="9">
        <v>0</v>
      </c>
      <c r="G34" s="9">
        <v>197470.2</v>
      </c>
      <c r="H34" s="14" t="s">
        <v>3</v>
      </c>
      <c r="I34" s="1"/>
    </row>
    <row r="35" spans="1:9" x14ac:dyDescent="0.25">
      <c r="A35" s="1"/>
      <c r="B35" s="85" t="s">
        <v>255</v>
      </c>
      <c r="C35" s="86"/>
      <c r="D35" s="87"/>
      <c r="E35" s="12">
        <f>SUM(E10:E34)</f>
        <v>624416.6533333332</v>
      </c>
      <c r="F35" s="12">
        <f>SUM(F10:F34)</f>
        <v>106531</v>
      </c>
      <c r="G35" s="12">
        <f>SUM(G10:G34)</f>
        <v>1160694.2</v>
      </c>
      <c r="H35" s="13" t="s">
        <v>3</v>
      </c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</sheetData>
  <sheetProtection algorithmName="SHA-512" hashValue="aeAvKUSfsljTs9kKuzehm9rXvU3oFHfTmTQsGhvW5XRLhIWknhSZEweOBkay1rz5DwAcsZYUk9Gc4W0glsk22w==" saltValue="oKD6CnLCvQOPtjlDJH/Fng==" spinCount="100000" sheet="1" objects="1" scenarios="1"/>
  <mergeCells count="3">
    <mergeCell ref="B3:H4"/>
    <mergeCell ref="B35:D3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225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4" t="s">
        <v>25</v>
      </c>
      <c r="C9" s="54" t="s">
        <v>16</v>
      </c>
      <c r="D9" s="55"/>
      <c r="E9" s="54" t="s">
        <v>48</v>
      </c>
      <c r="F9" s="39"/>
      <c r="G9" s="1"/>
    </row>
    <row r="10" spans="1:7" x14ac:dyDescent="0.25">
      <c r="A10" s="1"/>
      <c r="B10" s="27" t="s">
        <v>287</v>
      </c>
      <c r="C10" s="24">
        <f>'Fane 9. Anlægsprojekter'!F35</f>
        <v>106531</v>
      </c>
      <c r="D10" s="14" t="s">
        <v>3</v>
      </c>
      <c r="E10" s="9">
        <f>SUM('Fane 9. Anlægsprojekter'!E35,'Fane 9. Anlægsprojekter'!G35)</f>
        <v>1785110.853333333</v>
      </c>
      <c r="F10" s="14" t="s">
        <v>3</v>
      </c>
      <c r="G10" s="1"/>
    </row>
    <row r="11" spans="1:7" x14ac:dyDescent="0.25">
      <c r="A11" s="1"/>
      <c r="B11" s="27" t="s">
        <v>259</v>
      </c>
      <c r="C11" s="24">
        <v>118443</v>
      </c>
      <c r="D11" s="14" t="s">
        <v>3</v>
      </c>
      <c r="E11" s="9">
        <v>1030155.8</v>
      </c>
      <c r="F11" s="14" t="s">
        <v>3</v>
      </c>
      <c r="G11" s="1"/>
    </row>
    <row r="12" spans="1:7" x14ac:dyDescent="0.25">
      <c r="A12" s="1"/>
      <c r="B12" s="46" t="s">
        <v>260</v>
      </c>
      <c r="C12" s="24">
        <v>3720226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27" t="s">
        <v>261</v>
      </c>
      <c r="C13" s="24">
        <v>123195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0" t="s">
        <v>60</v>
      </c>
      <c r="C14" s="12">
        <f>SUM(C10:C13)</f>
        <v>4068395</v>
      </c>
      <c r="D14" s="13" t="s">
        <v>3</v>
      </c>
      <c r="E14" s="12">
        <f>SUM(E10:E13)</f>
        <v>2815266.6533333333</v>
      </c>
      <c r="F14" s="13" t="s">
        <v>3</v>
      </c>
      <c r="G14" s="1"/>
    </row>
    <row r="15" spans="1:7" x14ac:dyDescent="0.25">
      <c r="A15" s="1"/>
      <c r="B15" s="40" t="s">
        <v>70</v>
      </c>
      <c r="C15" s="12">
        <f>C14*(1+'Fane 15. Nøgletal'!C12)</f>
        <v>4148542.3815000001</v>
      </c>
      <c r="D15" s="13" t="s">
        <v>3</v>
      </c>
      <c r="E15" s="12">
        <f>E14*(1+'Fane 15. Nøgletal'!C12)</f>
        <v>2870727.4064040002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PUelhW0RLFbmHTRYeNueoEAvyr8dk0eXLuuaOcxjkO9ijm21XVVKDFwS7S1q665G83L1AvkS97dY8NfG/x/0g==" saltValue="5E0Z3KxnHBx+P/ihLpbh9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224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5" t="s">
        <v>187</v>
      </c>
      <c r="C8" s="86"/>
      <c r="D8" s="86"/>
      <c r="E8" s="86"/>
      <c r="F8" s="87"/>
      <c r="G8" s="1"/>
    </row>
    <row r="9" spans="1:7" x14ac:dyDescent="0.25">
      <c r="A9" s="1"/>
      <c r="B9" s="54" t="s">
        <v>25</v>
      </c>
      <c r="C9" s="54" t="s">
        <v>16</v>
      </c>
      <c r="D9" s="55"/>
      <c r="E9" s="54" t="s">
        <v>48</v>
      </c>
      <c r="F9" s="39"/>
      <c r="G9" s="1"/>
    </row>
    <row r="10" spans="1:7" x14ac:dyDescent="0.25">
      <c r="A10" s="1"/>
      <c r="B10" s="27" t="s">
        <v>261</v>
      </c>
      <c r="C10" s="24">
        <v>1231953</v>
      </c>
      <c r="D10" s="14" t="s">
        <v>3</v>
      </c>
      <c r="E10" s="9">
        <v>0</v>
      </c>
      <c r="F10" s="14" t="s">
        <v>3</v>
      </c>
      <c r="G10" s="1"/>
    </row>
    <row r="11" spans="1:7" ht="26.25" x14ac:dyDescent="0.25">
      <c r="A11" s="1"/>
      <c r="B11" s="47" t="s">
        <v>289</v>
      </c>
      <c r="C11" s="24">
        <v>0</v>
      </c>
      <c r="D11" s="14" t="s">
        <v>3</v>
      </c>
      <c r="E11" s="9">
        <v>42975.6</v>
      </c>
      <c r="F11" s="14" t="s">
        <v>3</v>
      </c>
      <c r="G11" s="1"/>
    </row>
    <row r="12" spans="1:7" ht="26.25" x14ac:dyDescent="0.25">
      <c r="A12" s="1"/>
      <c r="B12" s="47" t="s">
        <v>290</v>
      </c>
      <c r="C12" s="24">
        <v>0</v>
      </c>
      <c r="D12" s="14" t="s">
        <v>3</v>
      </c>
      <c r="E12" s="9">
        <v>65823</v>
      </c>
      <c r="F12" s="14" t="s">
        <v>3</v>
      </c>
      <c r="G12" s="1"/>
    </row>
    <row r="13" spans="1:7" x14ac:dyDescent="0.25">
      <c r="A13" s="1"/>
      <c r="B13" s="40" t="s">
        <v>191</v>
      </c>
      <c r="C13" s="12">
        <f>SUM(C10:C12)</f>
        <v>1231953</v>
      </c>
      <c r="D13" s="13" t="s">
        <v>3</v>
      </c>
      <c r="E13" s="12">
        <f>SUM(E10:E12)</f>
        <v>108798.6</v>
      </c>
      <c r="F13" s="13" t="s">
        <v>3</v>
      </c>
      <c r="G13" s="1"/>
    </row>
    <row r="14" spans="1:7" x14ac:dyDescent="0.25">
      <c r="A14" s="1"/>
      <c r="B14" s="29" t="s">
        <v>10</v>
      </c>
      <c r="C14" s="30">
        <f>-C13*'Fane 5. Individuelt eff. krav'!G11</f>
        <v>-9694.9039641311247</v>
      </c>
      <c r="D14" s="31" t="s">
        <v>3</v>
      </c>
      <c r="E14" s="30">
        <f>-E13*'Fane 5. Individuelt eff. krav'!G11</f>
        <v>-856.19498343842395</v>
      </c>
      <c r="F14" s="31" t="s">
        <v>3</v>
      </c>
      <c r="G14" s="1"/>
    </row>
    <row r="15" spans="1:7" x14ac:dyDescent="0.25">
      <c r="A15" s="1"/>
      <c r="B15" s="29" t="s">
        <v>195</v>
      </c>
      <c r="C15" s="30">
        <f>-C13*'Fane 15. Nøgletal'!C25</f>
        <v>-24639.06</v>
      </c>
      <c r="D15" s="31" t="s">
        <v>3</v>
      </c>
      <c r="E15" s="30">
        <f>-E13*'Fane 15. Nøgletal'!C20</f>
        <v>-3089.8802400000004</v>
      </c>
      <c r="F15" s="31" t="s">
        <v>3</v>
      </c>
      <c r="G15" s="1"/>
    </row>
    <row r="16" spans="1:7" x14ac:dyDescent="0.25">
      <c r="A16" s="1"/>
      <c r="B16" s="40" t="s">
        <v>192</v>
      </c>
      <c r="C16" s="12">
        <f>SUM(C13:C15)*(1+'Fane 15. Nøgletal'!C12)^2</f>
        <v>1245270.0100273772</v>
      </c>
      <c r="D16" s="13" t="s">
        <v>3</v>
      </c>
      <c r="E16" s="12">
        <f>SUM(E13:E15)*(1+'Fane 15. Nøgletal'!C12)^2</f>
        <v>109024.40646909864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85" t="s">
        <v>188</v>
      </c>
      <c r="C18" s="86"/>
      <c r="D18" s="86"/>
      <c r="E18" s="86"/>
      <c r="F18" s="87"/>
      <c r="G18" s="1"/>
    </row>
    <row r="19" spans="1:7" x14ac:dyDescent="0.25">
      <c r="A19" s="1"/>
      <c r="B19" s="54" t="s">
        <v>25</v>
      </c>
      <c r="C19" s="54" t="s">
        <v>16</v>
      </c>
      <c r="D19" s="55"/>
      <c r="E19" s="54" t="s">
        <v>48</v>
      </c>
      <c r="F19" s="39"/>
      <c r="G19" s="1"/>
    </row>
    <row r="20" spans="1:7" x14ac:dyDescent="0.25">
      <c r="A20" s="1"/>
      <c r="B20" s="27" t="s">
        <v>262</v>
      </c>
      <c r="C20" s="24">
        <v>0</v>
      </c>
      <c r="D20" s="14" t="s">
        <v>3</v>
      </c>
      <c r="E20" s="9">
        <v>0</v>
      </c>
      <c r="F20" s="14" t="s">
        <v>3</v>
      </c>
      <c r="G20" s="1"/>
    </row>
    <row r="21" spans="1:7" x14ac:dyDescent="0.25">
      <c r="A21" s="1"/>
      <c r="B21" s="40" t="s">
        <v>191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9" t="s">
        <v>10</v>
      </c>
      <c r="C22" s="30">
        <f>-C21*'Fane 5. Individuelt eff. krav'!G11</f>
        <v>0</v>
      </c>
      <c r="D22" s="31" t="s">
        <v>3</v>
      </c>
      <c r="E22" s="30">
        <f>-E21*'Fane 5. Individuelt eff. krav'!G11</f>
        <v>0</v>
      </c>
      <c r="F22" s="31" t="s">
        <v>3</v>
      </c>
      <c r="G22" s="1"/>
    </row>
    <row r="23" spans="1:7" x14ac:dyDescent="0.25">
      <c r="A23" s="1"/>
      <c r="B23" s="29" t="s">
        <v>195</v>
      </c>
      <c r="C23" s="30">
        <f>-C21*'Fane 15. Nøgletal'!C25</f>
        <v>0</v>
      </c>
      <c r="D23" s="31" t="s">
        <v>3</v>
      </c>
      <c r="E23" s="30">
        <f>-E21*'Fane 15. Nøgletal'!C20</f>
        <v>0</v>
      </c>
      <c r="F23" s="31" t="s">
        <v>3</v>
      </c>
      <c r="G23" s="1"/>
    </row>
    <row r="24" spans="1:7" x14ac:dyDescent="0.25">
      <c r="A24" s="1"/>
      <c r="B24" s="40" t="s">
        <v>193</v>
      </c>
      <c r="C24" s="12">
        <f>SUM(C21:C23)*(1+'Fane 15. Nøgletal'!C12)^3</f>
        <v>0</v>
      </c>
      <c r="D24" s="13" t="s">
        <v>3</v>
      </c>
      <c r="E24" s="12">
        <f>SUM(E21:E23)*(1+'Fane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5" t="s">
        <v>189</v>
      </c>
      <c r="C26" s="86"/>
      <c r="D26" s="86"/>
      <c r="E26" s="86"/>
      <c r="F26" s="87"/>
      <c r="G26" s="1"/>
    </row>
    <row r="27" spans="1:7" x14ac:dyDescent="0.25">
      <c r="A27" s="1"/>
      <c r="B27" s="54" t="s">
        <v>25</v>
      </c>
      <c r="C27" s="54" t="s">
        <v>16</v>
      </c>
      <c r="D27" s="55"/>
      <c r="E27" s="54" t="s">
        <v>48</v>
      </c>
      <c r="F27" s="39"/>
      <c r="G27" s="1"/>
    </row>
    <row r="28" spans="1:7" x14ac:dyDescent="0.25">
      <c r="A28" s="1"/>
      <c r="B28" s="27" t="s">
        <v>262</v>
      </c>
      <c r="C28" s="24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191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9" t="s">
        <v>10</v>
      </c>
      <c r="C30" s="30">
        <f>-C29*'Fane 5. Individuelt eff. krav'!G11</f>
        <v>0</v>
      </c>
      <c r="D30" s="31" t="s">
        <v>3</v>
      </c>
      <c r="E30" s="30">
        <f>-E29*'Fane 5. Individuelt eff. krav'!G11</f>
        <v>0</v>
      </c>
      <c r="F30" s="31" t="s">
        <v>3</v>
      </c>
      <c r="G30" s="1"/>
    </row>
    <row r="31" spans="1:7" x14ac:dyDescent="0.25">
      <c r="A31" s="1"/>
      <c r="B31" s="29" t="s">
        <v>195</v>
      </c>
      <c r="C31" s="30">
        <f>-C29*'Fane 15. Nøgletal'!C25</f>
        <v>0</v>
      </c>
      <c r="D31" s="31" t="s">
        <v>3</v>
      </c>
      <c r="E31" s="30">
        <f>-E29*'Fane 15. Nøgletal'!C20</f>
        <v>0</v>
      </c>
      <c r="F31" s="31" t="s">
        <v>3</v>
      </c>
      <c r="G31" s="1"/>
    </row>
    <row r="32" spans="1:7" x14ac:dyDescent="0.25">
      <c r="A32" s="1"/>
      <c r="B32" s="40" t="s">
        <v>193</v>
      </c>
      <c r="C32" s="12">
        <f>SUM(C29:C31)*(1+'Fane 15. Nøgletal'!C12)^4</f>
        <v>0</v>
      </c>
      <c r="D32" s="13" t="s">
        <v>3</v>
      </c>
      <c r="E32" s="12">
        <f>SUM(E29:E31)*(1+'Fane 15. Nøgletal'!C12)^4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85" t="s">
        <v>190</v>
      </c>
      <c r="C34" s="86"/>
      <c r="D34" s="86"/>
      <c r="E34" s="86"/>
      <c r="F34" s="87"/>
      <c r="G34" s="1"/>
    </row>
    <row r="35" spans="1:7" x14ac:dyDescent="0.25">
      <c r="A35" s="1"/>
      <c r="B35" s="54" t="s">
        <v>25</v>
      </c>
      <c r="C35" s="54" t="s">
        <v>16</v>
      </c>
      <c r="D35" s="55"/>
      <c r="E35" s="54" t="s">
        <v>48</v>
      </c>
      <c r="F35" s="39"/>
      <c r="G35" s="1"/>
    </row>
    <row r="36" spans="1:7" x14ac:dyDescent="0.25">
      <c r="A36" s="1"/>
      <c r="B36" s="27" t="s">
        <v>262</v>
      </c>
      <c r="C36" s="24">
        <v>0</v>
      </c>
      <c r="D36" s="14" t="s">
        <v>3</v>
      </c>
      <c r="E36" s="9">
        <v>0</v>
      </c>
      <c r="F36" s="14" t="s">
        <v>3</v>
      </c>
      <c r="G36" s="1"/>
    </row>
    <row r="37" spans="1:7" x14ac:dyDescent="0.25">
      <c r="A37" s="1"/>
      <c r="B37" s="40" t="s">
        <v>191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9" t="s">
        <v>10</v>
      </c>
      <c r="C38" s="30">
        <f>-C37*'Fane 5. Individuelt eff. krav'!G11</f>
        <v>0</v>
      </c>
      <c r="D38" s="31" t="s">
        <v>3</v>
      </c>
      <c r="E38" s="30">
        <f>-E37*'Fane 5. Individuelt eff. krav'!G11</f>
        <v>0</v>
      </c>
      <c r="F38" s="31" t="s">
        <v>3</v>
      </c>
      <c r="G38" s="1"/>
    </row>
    <row r="39" spans="1:7" x14ac:dyDescent="0.25">
      <c r="A39" s="1"/>
      <c r="B39" s="29" t="s">
        <v>195</v>
      </c>
      <c r="C39" s="30">
        <f>-C37*'Fane 15. Nøgletal'!C25</f>
        <v>0</v>
      </c>
      <c r="D39" s="31" t="s">
        <v>3</v>
      </c>
      <c r="E39" s="30">
        <f>-E37*'Fane 15. Nøgletal'!C20</f>
        <v>0</v>
      </c>
      <c r="F39" s="31" t="s">
        <v>3</v>
      </c>
      <c r="G39" s="1"/>
    </row>
    <row r="40" spans="1:7" x14ac:dyDescent="0.25">
      <c r="A40" s="1"/>
      <c r="B40" s="40" t="s">
        <v>193</v>
      </c>
      <c r="C40" s="12">
        <f>SUM(C37:C39)*(1+'Fane 15. Nøgletal'!C12)^5</f>
        <v>0</v>
      </c>
      <c r="D40" s="13" t="s">
        <v>3</v>
      </c>
      <c r="E40" s="12">
        <f>SUM(E37:E39)*(1+'Fane 15. Nøgletal'!C12)^5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I48CaZH8aUAFBQJWW+ZmwwL6k/61svXQyYybTBDBf2ULuBF6FlRYG7w0sSsDY0+ErB9lEsXuYEKVSy4EpLnjkg==" saltValue="c5LYeQuzXJdMCdBmo4V2zQ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227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94"/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5" t="s">
        <v>160</v>
      </c>
      <c r="C8" s="86"/>
      <c r="D8" s="86"/>
      <c r="E8" s="86"/>
      <c r="F8" s="87"/>
      <c r="G8" s="1"/>
    </row>
    <row r="9" spans="1:7" x14ac:dyDescent="0.25">
      <c r="A9" s="1"/>
      <c r="B9" s="112" t="s">
        <v>159</v>
      </c>
      <c r="C9" s="113"/>
      <c r="D9" s="114"/>
      <c r="E9" s="9">
        <v>960274.236517568</v>
      </c>
      <c r="F9" s="14" t="s">
        <v>3</v>
      </c>
      <c r="G9" s="1"/>
    </row>
    <row r="10" spans="1:7" x14ac:dyDescent="0.25">
      <c r="A10" s="1"/>
      <c r="B10" s="95" t="s">
        <v>10</v>
      </c>
      <c r="C10" s="96"/>
      <c r="D10" s="97"/>
      <c r="E10" s="9">
        <f>-E9*'Fane 5. Individuelt eff. krav'!G11</f>
        <v>-7556.9169459120276</v>
      </c>
      <c r="F10" s="14" t="s">
        <v>3</v>
      </c>
      <c r="G10" s="1"/>
    </row>
    <row r="11" spans="1:7" x14ac:dyDescent="0.25">
      <c r="A11" s="1"/>
      <c r="B11" s="95" t="s">
        <v>39</v>
      </c>
      <c r="C11" s="96"/>
      <c r="D11" s="97"/>
      <c r="E11" s="9">
        <f>-E9*'Fane 15. Nøgletal'!C25</f>
        <v>-19205.48473035136</v>
      </c>
      <c r="F11" s="14" t="s">
        <v>3</v>
      </c>
      <c r="G11" s="1"/>
    </row>
    <row r="12" spans="1:7" x14ac:dyDescent="0.25">
      <c r="A12" s="1"/>
      <c r="B12" s="85" t="s">
        <v>164</v>
      </c>
      <c r="C12" s="86"/>
      <c r="D12" s="87"/>
      <c r="E12" s="12">
        <f>SUM(E9:E11)*(1+'Fane 15. Nøgletal'!C12)^2</f>
        <v>970654.48774203553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161</v>
      </c>
      <c r="C14" s="86"/>
      <c r="D14" s="86"/>
      <c r="E14" s="86"/>
      <c r="F14" s="87"/>
      <c r="G14" s="1"/>
    </row>
    <row r="15" spans="1:7" x14ac:dyDescent="0.25">
      <c r="A15" s="1"/>
      <c r="B15" s="112" t="s">
        <v>159</v>
      </c>
      <c r="C15" s="113"/>
      <c r="D15" s="114"/>
      <c r="E15" s="9">
        <v>960274.236517568</v>
      </c>
      <c r="F15" s="14" t="s">
        <v>3</v>
      </c>
      <c r="G15" s="1"/>
    </row>
    <row r="16" spans="1:7" x14ac:dyDescent="0.25">
      <c r="A16" s="1"/>
      <c r="B16" s="95" t="s">
        <v>10</v>
      </c>
      <c r="C16" s="96"/>
      <c r="D16" s="97"/>
      <c r="E16" s="9">
        <f>-E15*'Fane 5. Individuelt eff. krav'!G11</f>
        <v>-7556.9169459120276</v>
      </c>
      <c r="F16" s="14" t="s">
        <v>3</v>
      </c>
      <c r="G16" s="1"/>
    </row>
    <row r="17" spans="1:7" x14ac:dyDescent="0.25">
      <c r="A17" s="1"/>
      <c r="B17" s="95" t="s">
        <v>39</v>
      </c>
      <c r="C17" s="96"/>
      <c r="D17" s="97"/>
      <c r="E17" s="9">
        <f>-E15*'Fane 15. Nøgletal'!C25</f>
        <v>-19205.48473035136</v>
      </c>
      <c r="F17" s="14" t="s">
        <v>3</v>
      </c>
      <c r="G17" s="1"/>
    </row>
    <row r="18" spans="1:7" x14ac:dyDescent="0.25">
      <c r="A18" s="1"/>
      <c r="B18" s="85" t="s">
        <v>165</v>
      </c>
      <c r="C18" s="86"/>
      <c r="D18" s="87"/>
      <c r="E18" s="12">
        <f>SUM(E15:E17)*(1+'Fane 15. Nøgletal'!C12)^3</f>
        <v>989776.3811505537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5" t="s">
        <v>162</v>
      </c>
      <c r="C20" s="86"/>
      <c r="D20" s="86"/>
      <c r="E20" s="86"/>
      <c r="F20" s="87"/>
      <c r="G20" s="1"/>
    </row>
    <row r="21" spans="1:7" x14ac:dyDescent="0.25">
      <c r="A21" s="1"/>
      <c r="B21" s="112" t="s">
        <v>159</v>
      </c>
      <c r="C21" s="113"/>
      <c r="D21" s="114"/>
      <c r="E21" s="9">
        <v>960274.236517568</v>
      </c>
      <c r="F21" s="14" t="s">
        <v>3</v>
      </c>
      <c r="G21" s="1"/>
    </row>
    <row r="22" spans="1:7" x14ac:dyDescent="0.25">
      <c r="A22" s="1"/>
      <c r="B22" s="95" t="s">
        <v>10</v>
      </c>
      <c r="C22" s="96"/>
      <c r="D22" s="97"/>
      <c r="E22" s="9">
        <f>-E21*'Fane 5. Individuelt eff. krav'!G11</f>
        <v>-7556.9169459120276</v>
      </c>
      <c r="F22" s="14" t="s">
        <v>3</v>
      </c>
      <c r="G22" s="1"/>
    </row>
    <row r="23" spans="1:7" x14ac:dyDescent="0.25">
      <c r="A23" s="1"/>
      <c r="B23" s="95" t="s">
        <v>39</v>
      </c>
      <c r="C23" s="96"/>
      <c r="D23" s="97"/>
      <c r="E23" s="9">
        <f>-E21*'Fane 15. Nøgletal'!C25</f>
        <v>-19205.48473035136</v>
      </c>
      <c r="F23" s="14" t="s">
        <v>3</v>
      </c>
      <c r="G23" s="1"/>
    </row>
    <row r="24" spans="1:7" x14ac:dyDescent="0.25">
      <c r="A24" s="1"/>
      <c r="B24" s="85" t="s">
        <v>166</v>
      </c>
      <c r="C24" s="86"/>
      <c r="D24" s="87"/>
      <c r="E24" s="12">
        <f>SUM(E21:E23)*(1+'Fane 15. Nøgletal'!C12)^4</f>
        <v>1009274.9758592197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5" t="s">
        <v>163</v>
      </c>
      <c r="C26" s="86"/>
      <c r="D26" s="86"/>
      <c r="E26" s="86"/>
      <c r="F26" s="87"/>
      <c r="G26" s="1"/>
    </row>
    <row r="27" spans="1:7" x14ac:dyDescent="0.25">
      <c r="A27" s="1"/>
      <c r="B27" s="112" t="s">
        <v>159</v>
      </c>
      <c r="C27" s="113"/>
      <c r="D27" s="114"/>
      <c r="E27" s="9">
        <v>960274.236517568</v>
      </c>
      <c r="F27" s="14" t="s">
        <v>3</v>
      </c>
      <c r="G27" s="1"/>
    </row>
    <row r="28" spans="1:7" x14ac:dyDescent="0.25">
      <c r="A28" s="1"/>
      <c r="B28" s="95" t="s">
        <v>10</v>
      </c>
      <c r="C28" s="96"/>
      <c r="D28" s="97"/>
      <c r="E28" s="9">
        <f>-E27*'Fane 5. Individuelt eff. krav'!G11</f>
        <v>-7556.9169459120276</v>
      </c>
      <c r="F28" s="14" t="s">
        <v>3</v>
      </c>
      <c r="G28" s="1"/>
    </row>
    <row r="29" spans="1:7" x14ac:dyDescent="0.25">
      <c r="A29" s="1"/>
      <c r="B29" s="95" t="s">
        <v>39</v>
      </c>
      <c r="C29" s="96"/>
      <c r="D29" s="97"/>
      <c r="E29" s="9">
        <f>-E27*'Fane 15. Nøgletal'!C25</f>
        <v>-19205.48473035136</v>
      </c>
      <c r="F29" s="14" t="s">
        <v>3</v>
      </c>
      <c r="G29" s="1"/>
    </row>
    <row r="30" spans="1:7" x14ac:dyDescent="0.25">
      <c r="A30" s="1"/>
      <c r="B30" s="85" t="s">
        <v>167</v>
      </c>
      <c r="C30" s="86"/>
      <c r="D30" s="87"/>
      <c r="E30" s="12">
        <f>SUM(E27:E29)*(1+'Fane 15. Nøgletal'!C12)^5</f>
        <v>1029157.6928836463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eyRJg/xRFuUlobhWc+kXW8XEVmQM3f+d4AkFUajZ+YX02DrP3T9Wl+d4i0bdkMNe7dVe8Vc6cKP64IA3eLl0A==" saltValue="eieomDJeGIZOFnqUpd4Z4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223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5" t="s">
        <v>32</v>
      </c>
      <c r="C8" s="86"/>
      <c r="D8" s="86"/>
      <c r="E8" s="86"/>
      <c r="F8" s="87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mkqJCO5Bj68PHQkd5O1hjACvYDSvtSr0mceRLBKR1JohS2be/1rP29cwKDSYsKPE1/64gOHolSP/xVCyCEUrg==" saltValue="Fhpyu2PPoyeSuoR6TJY6C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222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5" t="s">
        <v>169</v>
      </c>
      <c r="C8" s="86"/>
      <c r="D8" s="86"/>
      <c r="E8" s="86"/>
      <c r="F8" s="87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170</v>
      </c>
      <c r="C14" s="86"/>
      <c r="D14" s="86"/>
      <c r="E14" s="86"/>
      <c r="F14" s="87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5" t="s">
        <v>168</v>
      </c>
      <c r="C20" s="86"/>
      <c r="D20" s="86"/>
      <c r="E20" s="86"/>
      <c r="F20" s="87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5" t="s">
        <v>171</v>
      </c>
      <c r="C26" s="86"/>
      <c r="D26" s="86"/>
      <c r="E26" s="86"/>
      <c r="F26" s="87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j/xTTlww/7p7qmIucrtU3X89EbEmqxBDPlOP3FlVSepUzQObfa+qgkJ8CZ475LTDgIIKa0OdoaGfp1TDB5ksQ==" saltValue="zMN5l9BBWNupX+LCbauhh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221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18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2766133</v>
      </c>
      <c r="H9" s="14" t="s">
        <v>3</v>
      </c>
      <c r="I9" s="1"/>
    </row>
    <row r="10" spans="1:9" x14ac:dyDescent="0.25">
      <c r="A10" s="1"/>
      <c r="B10" s="98" t="s">
        <v>137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77</v>
      </c>
      <c r="C11" s="99"/>
      <c r="D11" s="99"/>
      <c r="E11" s="99"/>
      <c r="F11" s="100"/>
      <c r="G11" s="9">
        <v>-2766133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28</v>
      </c>
      <c r="I13" s="1"/>
    </row>
    <row r="14" spans="1:9" x14ac:dyDescent="0.25">
      <c r="A14" s="1"/>
      <c r="B14" s="85" t="s">
        <v>138</v>
      </c>
      <c r="C14" s="86"/>
      <c r="D14" s="86"/>
      <c r="E14" s="86"/>
      <c r="F14" s="8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2Qo4mH10trhTB79wAKxpNjO3TbUD7B/ehRI832rr+xmkOcGFDZFviqW3IumPaRRnIPB7nCrVbwMz0pVHXa07w==" saltValue="f50SMM7flGZVLZBpEKQyL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62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240375816.88446313</v>
      </c>
      <c r="D9" s="8" t="s">
        <v>3</v>
      </c>
      <c r="E9" s="1"/>
    </row>
    <row r="10" spans="1:5" ht="17.100000000000001" customHeight="1" x14ac:dyDescent="0.25">
      <c r="A10" s="1"/>
      <c r="B10" s="50" t="s">
        <v>64</v>
      </c>
      <c r="C10" s="7">
        <f>'Fane 10.1. Varige tillæg'!C15</f>
        <v>4148542.3815000001</v>
      </c>
      <c r="D10" s="8" t="s">
        <v>3</v>
      </c>
      <c r="E10" s="1"/>
    </row>
    <row r="11" spans="1:5" ht="17.100000000000001" customHeight="1" x14ac:dyDescent="0.25">
      <c r="A11" s="1"/>
      <c r="B11" s="50" t="s">
        <v>65</v>
      </c>
      <c r="C11" s="9">
        <f>'Fane 10.1. Varige tillæg'!E15</f>
        <v>2870727.4064040002</v>
      </c>
      <c r="D11" s="8" t="s">
        <v>3</v>
      </c>
      <c r="E11" s="1"/>
    </row>
    <row r="12" spans="1:5" ht="17.100000000000001" customHeight="1" x14ac:dyDescent="0.25">
      <c r="A12" s="1"/>
      <c r="B12" s="50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27</v>
      </c>
      <c r="C16" s="9">
        <f>SUM(C9:C15)*'Fane 15. Nøgletal'!C12</f>
        <v>4873683.2074456317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krav'!G11</f>
        <v>-1985239.2884584714</v>
      </c>
      <c r="D17" s="8" t="s">
        <v>3</v>
      </c>
      <c r="E17" s="1"/>
    </row>
    <row r="18" spans="1:5" ht="17.100000000000001" customHeight="1" x14ac:dyDescent="0.25">
      <c r="A18" s="1"/>
      <c r="B18" s="50" t="s">
        <v>39</v>
      </c>
      <c r="C18" s="9">
        <f>-'Fane 4.1. Gen. krav - drift'!G28</f>
        <v>-1880848.6595249088</v>
      </c>
      <c r="D18" s="8" t="s">
        <v>3</v>
      </c>
      <c r="E18" s="1"/>
    </row>
    <row r="19" spans="1:5" ht="17.100000000000001" customHeight="1" x14ac:dyDescent="0.25">
      <c r="A19" s="1"/>
      <c r="B19" s="50" t="s">
        <v>40</v>
      </c>
      <c r="C19" s="9">
        <f>-'Fane 4.2. Gen. krav - anlæg'!G25</f>
        <v>-4563227.4925297666</v>
      </c>
      <c r="D19" s="8" t="s">
        <v>3</v>
      </c>
      <c r="E19" s="1"/>
    </row>
    <row r="20" spans="1:5" ht="17.100000000000001" customHeight="1" x14ac:dyDescent="0.25">
      <c r="A20" s="1"/>
      <c r="B20" s="51" t="s">
        <v>29</v>
      </c>
      <c r="C20" s="10">
        <f>SUM(C9:C19)</f>
        <v>243839454.43929958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omk.'!C17+'Fane 6. Ikke-påvirkelige omk.'!C21+'Fane 6. Ikke-påvirkelige omk.'!C29</f>
        <v>6683298.2561842203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1" t="s">
        <v>145</v>
      </c>
      <c r="C24" s="10">
        <f>'Fane 11. Periodevise driftsomk.'!E12</f>
        <v>970654.48774203553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0" t="s">
        <v>140</v>
      </c>
      <c r="C26" s="9">
        <f>'Fane 10.2. Engangstillæg'!C16</f>
        <v>1245270.0100273772</v>
      </c>
      <c r="D26" s="8" t="s">
        <v>3</v>
      </c>
      <c r="E26" s="1"/>
    </row>
    <row r="27" spans="1:5" ht="15" customHeight="1" x14ac:dyDescent="0.25">
      <c r="A27" s="1"/>
      <c r="B27" s="50" t="s">
        <v>141</v>
      </c>
      <c r="C27" s="9">
        <f>'Fane 10.2. Engangstillæg'!E16</f>
        <v>109024.40646909864</v>
      </c>
      <c r="D27" s="8" t="s">
        <v>3</v>
      </c>
      <c r="E27" s="1"/>
    </row>
    <row r="28" spans="1:5" x14ac:dyDescent="0.25">
      <c r="A28" s="1"/>
      <c r="B28" s="51" t="s">
        <v>147</v>
      </c>
      <c r="C28" s="10">
        <f>SUM(C26:C27)</f>
        <v>1354294.4164964757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-9589518.3617849648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243258183.23793736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BRabaUdVOrRYL2/ke/3YyGE13fplb51acl2VBIlxgWSver6dPnGmnrwQ1mXNVCAgDfWkun0DBi5ixP165QFjA==" saltValue="7p26jmzMXm0awUxclVXV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4" t="s">
        <v>248</v>
      </c>
      <c r="C3" s="94"/>
      <c r="D3" s="1"/>
    </row>
    <row r="4" spans="1:4" ht="25.5" customHeight="1" x14ac:dyDescent="0.25">
      <c r="A4" s="1"/>
      <c r="B4" s="94"/>
      <c r="C4" s="9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6" t="s">
        <v>228</v>
      </c>
      <c r="C9" s="28">
        <v>1.2699999999999999E-2</v>
      </c>
      <c r="D9" s="1"/>
    </row>
    <row r="10" spans="1:4" x14ac:dyDescent="0.25">
      <c r="A10" s="1"/>
      <c r="B10" s="56" t="s">
        <v>229</v>
      </c>
      <c r="C10" s="28">
        <v>1.7500000000000002E-2</v>
      </c>
      <c r="D10" s="1"/>
    </row>
    <row r="11" spans="1:4" x14ac:dyDescent="0.25">
      <c r="A11" s="1"/>
      <c r="B11" s="56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6" t="s">
        <v>231</v>
      </c>
      <c r="C17" s="25">
        <v>9.1000000000000004E-3</v>
      </c>
      <c r="D17" s="1"/>
    </row>
    <row r="18" spans="1:4" x14ac:dyDescent="0.25">
      <c r="A18" s="1"/>
      <c r="B18" s="56" t="s">
        <v>232</v>
      </c>
      <c r="C18" s="25">
        <v>1.77E-2</v>
      </c>
      <c r="D18" s="1"/>
    </row>
    <row r="19" spans="1:4" x14ac:dyDescent="0.25">
      <c r="A19" s="1"/>
      <c r="B19" s="56" t="s">
        <v>233</v>
      </c>
      <c r="C19" s="25">
        <v>8.6999999999999994E-3</v>
      </c>
      <c r="D19" s="1"/>
    </row>
    <row r="20" spans="1:4" x14ac:dyDescent="0.25">
      <c r="A20" s="1"/>
      <c r="B20" s="56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6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OhBMmSUJwixNpWa6e59M/prRQHtG3zzPBK2AzF4PlLbr70MOIE+g8bcujfhiH43Dapk1d+gT5kPjVXN+wEaTOQ==" saltValue="/IhlPp1qwAh3eJq7kT64M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82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243839454.43929958</v>
      </c>
      <c r="D9" s="8" t="s">
        <v>3</v>
      </c>
      <c r="E9" s="1"/>
    </row>
    <row r="10" spans="1:5" ht="15" customHeight="1" x14ac:dyDescent="0.25">
      <c r="A10" s="1"/>
      <c r="B10" s="50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4803637.2524542017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-1956706.8673043554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-1879543.3505551985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-4520974.3788272366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240285867.09506696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Nøgletal'!C12)+'Fane 6. Ikke-påvirkelige omk.'!C22+'Fane 6. Ikke-påvirkelige omk.'!C30</f>
        <v>6814959.2318310495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1" t="s">
        <v>146</v>
      </c>
      <c r="C20" s="10">
        <f>'Fane 11. Periodevise driftsomk.'!E18</f>
        <v>989776.3811505537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0" t="s">
        <v>140</v>
      </c>
      <c r="C22" s="9">
        <f>'Fane 10.2. Engangstillæg'!C24</f>
        <v>0</v>
      </c>
      <c r="D22" s="8" t="s">
        <v>3</v>
      </c>
      <c r="E22" s="1"/>
    </row>
    <row r="23" spans="1:5" ht="15" customHeight="1" x14ac:dyDescent="0.25">
      <c r="A23" s="1"/>
      <c r="B23" s="50" t="s">
        <v>141</v>
      </c>
      <c r="C23" s="9">
        <f>'Fane 10.2. Engangstillæg'!E24</f>
        <v>0</v>
      </c>
      <c r="D23" s="8" t="s">
        <v>3</v>
      </c>
      <c r="E23" s="1"/>
    </row>
    <row r="24" spans="1:5" ht="15" customHeight="1" x14ac:dyDescent="0.25">
      <c r="A24" s="1"/>
      <c r="B24" s="51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-9589518.3617849648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238501084.34626359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wuI3FbESYnjsLUa54HPORPuNIY0S4ngiGmdFGFcXr0/mHBJLHoZC0aQkIKFBvQ1rGFKXGNu8JM7NT0lLTn85Q==" saltValue="GlmCLhiZwwDCWeFaU3R/J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246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30</v>
      </c>
      <c r="C5" s="81"/>
      <c r="D5" s="81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240285867.09506696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4733631.5817728192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-1928190.8555046457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-1878238.9474699134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-4479112.5069859745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236733956.36687925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Nøgletal'!C12)^2+'Fane 6. Ikke-påvirkelige omk.'!C23+'Fane 6. Ikke-påvirkelige omk.'!C31</f>
        <v>6949213.9286981216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1" t="s">
        <v>146</v>
      </c>
      <c r="C20" s="10">
        <f>'Fane 11. Periodevise driftsomk.'!E24</f>
        <v>1009274.9758592197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0" t="s">
        <v>140</v>
      </c>
      <c r="C22" s="9">
        <f>'Fane 10.2. Engangstillæg'!C32</f>
        <v>0</v>
      </c>
      <c r="D22" s="8" t="s">
        <v>3</v>
      </c>
      <c r="E22" s="1"/>
    </row>
    <row r="23" spans="1:5" ht="15" customHeight="1" x14ac:dyDescent="0.25">
      <c r="A23" s="1"/>
      <c r="B23" s="50" t="s">
        <v>141</v>
      </c>
      <c r="C23" s="9">
        <f>'Fane 10.2. Engangstillæg'!E32</f>
        <v>0</v>
      </c>
      <c r="D23" s="8" t="s">
        <v>3</v>
      </c>
      <c r="E23" s="1"/>
    </row>
    <row r="24" spans="1:5" ht="15" customHeight="1" x14ac:dyDescent="0.25">
      <c r="A24" s="1"/>
      <c r="B24" s="51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244692445.2714366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xClfHJRuSj4bd/TteZ8e6NWPxaKG/fs3/wpGCDqxumrUbwrXTlDUGj/WI+H0xDZg8E7/Ph57kHWHWsW0zFO2PQ==" saltValue="eKUS86XJeQnL+f0G4iDw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247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30</v>
      </c>
      <c r="C5" s="81"/>
      <c r="D5" s="81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288</v>
      </c>
      <c r="C9" s="7">
        <f>'Fane 2.3. Økonomisk ramme 2022'!C16</f>
        <v>236733956.36687925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4663658.9404275212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-1899688.2978284145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-1876935.449640369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-4437638.2543097883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233183353.30552822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Nøgletal'!C12)^3+'Fane 6. Ikke-påvirkelige omk.'!C24+'Fane 6. Ikke-påvirkelige omk.'!C32</f>
        <v>7086113.443093474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1" t="s">
        <v>146</v>
      </c>
      <c r="C20" s="10">
        <f>'Fane 11. Periodevise driftsomk.'!E30</f>
        <v>1029157.6928836463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0" t="s">
        <v>140</v>
      </c>
      <c r="C22" s="9">
        <f>'Fane 10.2. Engangstillæg'!C40</f>
        <v>0</v>
      </c>
      <c r="D22" s="8" t="s">
        <v>3</v>
      </c>
      <c r="E22" s="1"/>
    </row>
    <row r="23" spans="1:5" ht="15" customHeight="1" x14ac:dyDescent="0.25">
      <c r="A23" s="1"/>
      <c r="B23" s="50" t="s">
        <v>141</v>
      </c>
      <c r="C23" s="9">
        <f>'Fane 10.2. Engangstillæg'!E40</f>
        <v>0</v>
      </c>
      <c r="D23" s="8" t="s">
        <v>3</v>
      </c>
      <c r="E23" s="1"/>
    </row>
    <row r="24" spans="1:5" ht="15" customHeight="1" x14ac:dyDescent="0.25">
      <c r="A24" s="1"/>
      <c r="B24" s="51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241298624.44150534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1xMmbZ1KKPjkNeTtVtvmg97V+C+johKkvCdRJ0S5kKPN14/+H5/peFDaSHhrWMjyClU6Zkr9WyV3ORhYG59WA==" saltValue="eVuXIaW5EX8OgwAsZ3MG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243</v>
      </c>
      <c r="C3" s="94"/>
      <c r="D3" s="94"/>
      <c r="E3" s="94"/>
      <c r="F3" s="94"/>
      <c r="G3" s="1"/>
    </row>
    <row r="4" spans="1:7" ht="29.2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2" t="s">
        <v>79</v>
      </c>
      <c r="C9" s="83"/>
      <c r="D9" s="84"/>
      <c r="E9" s="7">
        <v>238401968.72614616</v>
      </c>
      <c r="F9" s="8" t="s">
        <v>3</v>
      </c>
      <c r="G9" s="1"/>
    </row>
    <row r="10" spans="1:7" ht="15" customHeight="1" x14ac:dyDescent="0.25">
      <c r="A10" s="1"/>
      <c r="B10" s="95" t="s">
        <v>64</v>
      </c>
      <c r="C10" s="96"/>
      <c r="D10" s="97"/>
      <c r="E10" s="7">
        <v>143897.45139999999</v>
      </c>
      <c r="F10" s="8" t="s">
        <v>3</v>
      </c>
      <c r="G10" s="1"/>
    </row>
    <row r="11" spans="1:7" ht="15" customHeight="1" x14ac:dyDescent="0.25">
      <c r="A11" s="1"/>
      <c r="B11" s="95" t="s">
        <v>65</v>
      </c>
      <c r="C11" s="96"/>
      <c r="D11" s="97"/>
      <c r="E11" s="9">
        <v>3268530.1489999997</v>
      </c>
      <c r="F11" s="8" t="s">
        <v>3</v>
      </c>
      <c r="G11" s="1"/>
    </row>
    <row r="12" spans="1:7" ht="15" customHeight="1" x14ac:dyDescent="0.25">
      <c r="A12" s="1"/>
      <c r="B12" s="95" t="s">
        <v>42</v>
      </c>
      <c r="C12" s="96"/>
      <c r="D12" s="97"/>
      <c r="E12" s="9">
        <v>0</v>
      </c>
      <c r="F12" s="8" t="s">
        <v>3</v>
      </c>
      <c r="G12" s="1"/>
    </row>
    <row r="13" spans="1:7" ht="15" customHeight="1" x14ac:dyDescent="0.25">
      <c r="A13" s="1"/>
      <c r="B13" s="82" t="s">
        <v>41</v>
      </c>
      <c r="C13" s="83"/>
      <c r="D13" s="84"/>
      <c r="E13" s="9">
        <v>0</v>
      </c>
      <c r="F13" s="8" t="s">
        <v>3</v>
      </c>
      <c r="G13" s="1"/>
    </row>
    <row r="14" spans="1:7" ht="15" customHeight="1" x14ac:dyDescent="0.25">
      <c r="A14" s="1"/>
      <c r="B14" s="82" t="s">
        <v>44</v>
      </c>
      <c r="C14" s="83"/>
      <c r="D14" s="84"/>
      <c r="E14" s="9">
        <v>0</v>
      </c>
      <c r="F14" s="8" t="s">
        <v>3</v>
      </c>
      <c r="G14" s="1"/>
    </row>
    <row r="15" spans="1:7" ht="15" customHeight="1" x14ac:dyDescent="0.25">
      <c r="A15" s="1"/>
      <c r="B15" s="82" t="s">
        <v>43</v>
      </c>
      <c r="C15" s="83"/>
      <c r="D15" s="84"/>
      <c r="E15" s="9">
        <v>0</v>
      </c>
      <c r="F15" s="8" t="s">
        <v>3</v>
      </c>
      <c r="G15" s="1"/>
    </row>
    <row r="16" spans="1:7" ht="15" customHeight="1" x14ac:dyDescent="0.25">
      <c r="A16" s="1"/>
      <c r="B16" s="82" t="s">
        <v>27</v>
      </c>
      <c r="C16" s="83"/>
      <c r="D16" s="84"/>
      <c r="E16" s="9">
        <f>E9*'Fane 15. Nøgletal'!C10+SUM(E10:E15)*'Fane 15. Nøgletal'!C11</f>
        <v>4229704.4791543186</v>
      </c>
      <c r="F16" s="8" t="s">
        <v>3</v>
      </c>
      <c r="G16" s="1"/>
    </row>
    <row r="17" spans="1:7" ht="15" customHeight="1" x14ac:dyDescent="0.25">
      <c r="A17" s="1"/>
      <c r="B17" s="82" t="s">
        <v>10</v>
      </c>
      <c r="C17" s="83"/>
      <c r="D17" s="84"/>
      <c r="E17" s="9">
        <f>-SUM(E9:E16)*'Fane 5. Individuelt eff. krav'!G10</f>
        <v>-1113678.7833509594</v>
      </c>
      <c r="F17" s="8" t="s">
        <v>3</v>
      </c>
      <c r="G17" s="1"/>
    </row>
    <row r="18" spans="1:7" ht="15" customHeight="1" x14ac:dyDescent="0.25">
      <c r="A18" s="1"/>
      <c r="B18" s="82" t="s">
        <v>39</v>
      </c>
      <c r="C18" s="83"/>
      <c r="D18" s="84"/>
      <c r="E18" s="9">
        <f>-'Fane 4.1. Gen. krav - drift'!G22</f>
        <v>-1797490.7447734706</v>
      </c>
      <c r="F18" s="8" t="s">
        <v>3</v>
      </c>
      <c r="G18" s="1"/>
    </row>
    <row r="19" spans="1:7" ht="15" customHeight="1" x14ac:dyDescent="0.25">
      <c r="A19" s="1"/>
      <c r="B19" s="82" t="s">
        <v>40</v>
      </c>
      <c r="C19" s="83"/>
      <c r="D19" s="84"/>
      <c r="E19" s="9">
        <f>-'Fane 4.2. Gen. krav - anlæg'!G19</f>
        <v>-2757114.393112917</v>
      </c>
      <c r="F19" s="8" t="s">
        <v>3</v>
      </c>
      <c r="G19" s="1"/>
    </row>
    <row r="20" spans="1:7" ht="15" customHeight="1" x14ac:dyDescent="0.25">
      <c r="A20" s="1"/>
      <c r="B20" s="51" t="s">
        <v>29</v>
      </c>
      <c r="C20" s="52"/>
      <c r="D20" s="53"/>
      <c r="E20" s="10">
        <f>SUM(E9:E19)</f>
        <v>240375816.88446313</v>
      </c>
      <c r="F20" s="11" t="s">
        <v>3</v>
      </c>
      <c r="G20" s="1"/>
    </row>
    <row r="21" spans="1:7" ht="15" customHeight="1" x14ac:dyDescent="0.25">
      <c r="A21" s="1"/>
      <c r="B21" s="85" t="s">
        <v>145</v>
      </c>
      <c r="C21" s="86"/>
      <c r="D21" s="86"/>
      <c r="E21" s="86"/>
      <c r="F21" s="87"/>
      <c r="G21" s="1"/>
    </row>
    <row r="22" spans="1:7" ht="15" customHeight="1" x14ac:dyDescent="0.25">
      <c r="A22" s="1"/>
      <c r="B22" s="82" t="s">
        <v>239</v>
      </c>
      <c r="C22" s="83"/>
      <c r="D22" s="84"/>
      <c r="E22" s="44">
        <v>977078.79500000004</v>
      </c>
      <c r="F22" s="8" t="s">
        <v>3</v>
      </c>
      <c r="G22" s="1"/>
    </row>
    <row r="23" spans="1:7" ht="15" customHeight="1" x14ac:dyDescent="0.25">
      <c r="A23" s="1"/>
      <c r="B23" s="82" t="s">
        <v>238</v>
      </c>
      <c r="C23" s="83"/>
      <c r="D23" s="84"/>
      <c r="E23" s="44">
        <f>-E22*('Fane 15. Nøgletal'!C25+'Fane 5. Individuelt eff. krav'!G10)</f>
        <v>-23964.164859013199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953114.63014098688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18657874.298271917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50457.592525153239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85" t="s">
        <v>24</v>
      </c>
      <c r="C31" s="86"/>
      <c r="D31" s="87"/>
      <c r="E31" s="12">
        <f>SUM(E30,E28,E26,E20,E24)</f>
        <v>260037263.4054012</v>
      </c>
      <c r="F31" s="13" t="s">
        <v>3</v>
      </c>
      <c r="G31" s="1"/>
    </row>
    <row r="32" spans="1:7" ht="27" customHeight="1" x14ac:dyDescent="0.25">
      <c r="A32" s="1"/>
      <c r="B32" s="82" t="s">
        <v>208</v>
      </c>
      <c r="C32" s="83"/>
      <c r="D32" s="83"/>
      <c r="E32" s="83"/>
      <c r="F32" s="8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HZABUWI3dpBDYMmECb4pdR/Gb5DVBqHCFEdB8sGS3bmuReqkm9p2wjwsDwXyIGChSAQY91b4/7L0EG+bpSWpg==" saltValue="48Z54rerkiWK57GjYxU6q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0" t="s">
        <v>218</v>
      </c>
      <c r="C2" s="80"/>
      <c r="D2" s="80"/>
      <c r="E2" s="80"/>
      <c r="F2" s="80"/>
      <c r="G2" s="80"/>
      <c r="H2" s="80"/>
      <c r="I2" s="1"/>
    </row>
    <row r="3" spans="1:9" ht="15" customHeight="1" x14ac:dyDescent="0.25">
      <c r="A3" s="1"/>
      <c r="B3" s="80"/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85" t="s">
        <v>94</v>
      </c>
      <c r="C5" s="86"/>
      <c r="D5" s="86"/>
      <c r="E5" s="86"/>
      <c r="F5" s="86"/>
      <c r="G5" s="86"/>
      <c r="H5" s="87"/>
      <c r="I5" s="1"/>
    </row>
    <row r="6" spans="1:9" x14ac:dyDescent="0.25">
      <c r="A6" s="1"/>
      <c r="B6" s="98" t="s">
        <v>83</v>
      </c>
      <c r="C6" s="99"/>
      <c r="D6" s="99"/>
      <c r="E6" s="99"/>
      <c r="F6" s="100"/>
      <c r="G6" s="26">
        <v>91224526.118125319</v>
      </c>
      <c r="H6" s="14" t="s">
        <v>3</v>
      </c>
      <c r="I6" s="1"/>
    </row>
    <row r="7" spans="1:9" x14ac:dyDescent="0.25">
      <c r="A7" s="1"/>
      <c r="B7" s="82" t="s">
        <v>242</v>
      </c>
      <c r="C7" s="83"/>
      <c r="D7" s="83"/>
      <c r="E7" s="83"/>
      <c r="F7" s="84"/>
      <c r="G7" s="26">
        <v>0</v>
      </c>
      <c r="H7" s="14" t="s">
        <v>3</v>
      </c>
      <c r="I7" s="1"/>
    </row>
    <row r="8" spans="1:9" x14ac:dyDescent="0.25">
      <c r="A8" s="1"/>
      <c r="B8" s="98" t="s">
        <v>84</v>
      </c>
      <c r="C8" s="99"/>
      <c r="D8" s="99"/>
      <c r="E8" s="99"/>
      <c r="F8" s="100"/>
      <c r="G8" s="26">
        <f>SUM(G6:G7)*'Fane 15. Nøgletal'!C25</f>
        <v>1824490.5223625065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5" t="s">
        <v>95</v>
      </c>
      <c r="C11" s="86"/>
      <c r="D11" s="86"/>
      <c r="E11" s="86"/>
      <c r="F11" s="86"/>
      <c r="G11" s="86"/>
      <c r="H11" s="87"/>
      <c r="I11" s="1"/>
    </row>
    <row r="12" spans="1:9" x14ac:dyDescent="0.25">
      <c r="A12" s="1"/>
      <c r="B12" s="98" t="s">
        <v>85</v>
      </c>
      <c r="C12" s="99"/>
      <c r="D12" s="99"/>
      <c r="E12" s="99"/>
      <c r="F12" s="100"/>
      <c r="G12" s="26">
        <f>(G6-G8)*(1+'Fane 15. Nøgletal'!C10)</f>
        <v>90964536.218688682</v>
      </c>
      <c r="H12" s="14" t="s">
        <v>3</v>
      </c>
      <c r="I12" s="1"/>
    </row>
    <row r="13" spans="1:9" x14ac:dyDescent="0.25">
      <c r="A13" s="1"/>
      <c r="B13" s="98" t="s">
        <v>244</v>
      </c>
      <c r="C13" s="99"/>
      <c r="D13" s="99"/>
      <c r="E13" s="99"/>
      <c r="F13" s="100"/>
      <c r="G13" s="26">
        <v>-960274.58156027109</v>
      </c>
      <c r="H13" s="14" t="s">
        <v>3</v>
      </c>
      <c r="I13" s="1"/>
    </row>
    <row r="14" spans="1:9" ht="15" customHeight="1" x14ac:dyDescent="0.25">
      <c r="A14" s="1"/>
      <c r="B14" s="82" t="s">
        <v>237</v>
      </c>
      <c r="C14" s="83"/>
      <c r="D14" s="83"/>
      <c r="E14" s="83"/>
      <c r="F14" s="84"/>
      <c r="G14" s="26">
        <v>960273.76500000001</v>
      </c>
      <c r="H14" s="14" t="s">
        <v>3</v>
      </c>
      <c r="I14" s="1"/>
    </row>
    <row r="15" spans="1:9" x14ac:dyDescent="0.25">
      <c r="A15" s="1"/>
      <c r="B15" s="101" t="s">
        <v>86</v>
      </c>
      <c r="C15" s="102"/>
      <c r="D15" s="102"/>
      <c r="E15" s="102"/>
      <c r="F15" s="103"/>
      <c r="G15" s="26">
        <v>0</v>
      </c>
      <c r="H15" s="14" t="s">
        <v>3</v>
      </c>
      <c r="I15" s="1"/>
    </row>
    <row r="16" spans="1:9" x14ac:dyDescent="0.25">
      <c r="A16" s="1"/>
      <c r="B16" s="98" t="s">
        <v>87</v>
      </c>
      <c r="C16" s="99"/>
      <c r="D16" s="99"/>
      <c r="E16" s="99"/>
      <c r="F16" s="100"/>
      <c r="G16" s="26">
        <f>SUM(G12:G15)*'Fane 15. Nøgletal'!C25</f>
        <v>1819290.7080425683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5" t="s">
        <v>96</v>
      </c>
      <c r="C19" s="86"/>
      <c r="D19" s="86"/>
      <c r="E19" s="86"/>
      <c r="F19" s="86"/>
      <c r="G19" s="86"/>
      <c r="H19" s="87"/>
      <c r="I19" s="1"/>
    </row>
    <row r="20" spans="1:9" x14ac:dyDescent="0.25">
      <c r="A20" s="1"/>
      <c r="B20" s="98" t="s">
        <v>88</v>
      </c>
      <c r="C20" s="99"/>
      <c r="D20" s="99"/>
      <c r="E20" s="99"/>
      <c r="F20" s="100"/>
      <c r="G20" s="26">
        <f>(SUM(G12:G13,G15)-(G16))*(1+'Fane 15. Nøgletal'!C10)</f>
        <v>89728207.920344859</v>
      </c>
      <c r="H20" s="14" t="s">
        <v>3</v>
      </c>
      <c r="I20" s="1"/>
    </row>
    <row r="21" spans="1:9" x14ac:dyDescent="0.25">
      <c r="A21" s="1"/>
      <c r="B21" s="101" t="s">
        <v>89</v>
      </c>
      <c r="C21" s="102"/>
      <c r="D21" s="102"/>
      <c r="E21" s="102"/>
      <c r="F21" s="103"/>
      <c r="G21" s="26">
        <v>146329.31832865998</v>
      </c>
      <c r="H21" s="14" t="s">
        <v>3</v>
      </c>
      <c r="I21" s="1"/>
    </row>
    <row r="22" spans="1:9" x14ac:dyDescent="0.25">
      <c r="A22" s="1"/>
      <c r="B22" s="98" t="s">
        <v>90</v>
      </c>
      <c r="C22" s="99"/>
      <c r="D22" s="99"/>
      <c r="E22" s="99"/>
      <c r="F22" s="100"/>
      <c r="G22" s="26">
        <f>SUM(G20:G21)*'Fane 15. Nøgletal'!C25</f>
        <v>1797490.7447734706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5" t="s">
        <v>97</v>
      </c>
      <c r="C25" s="86"/>
      <c r="D25" s="86"/>
      <c r="E25" s="86"/>
      <c r="F25" s="86"/>
      <c r="G25" s="86"/>
      <c r="H25" s="87"/>
      <c r="I25" s="1"/>
    </row>
    <row r="26" spans="1:9" x14ac:dyDescent="0.25">
      <c r="A26" s="1"/>
      <c r="B26" s="98" t="s">
        <v>91</v>
      </c>
      <c r="C26" s="99"/>
      <c r="D26" s="99"/>
      <c r="E26" s="99"/>
      <c r="F26" s="100"/>
      <c r="G26" s="26">
        <f>(G20+G21-G22)*(1+'Fane 15. Nøgletal'!C12)</f>
        <v>89812164.309829876</v>
      </c>
      <c r="H26" s="14" t="s">
        <v>3</v>
      </c>
      <c r="I26" s="1"/>
    </row>
    <row r="27" spans="1:9" x14ac:dyDescent="0.25">
      <c r="A27" s="1"/>
      <c r="B27" s="101" t="s">
        <v>92</v>
      </c>
      <c r="C27" s="102"/>
      <c r="D27" s="102"/>
      <c r="E27" s="102"/>
      <c r="F27" s="103"/>
      <c r="G27" s="26">
        <f>('Fane 2.1. Økonomisk ramme 2020'!C10+'Fane 2.1. Økonomisk ramme 2020'!C12+'Fane 2.1. Økonomisk ramme 2020'!C14)*(1+'Fane 15. Nøgletal'!C12)</f>
        <v>4230268.6664155507</v>
      </c>
      <c r="H27" s="14" t="s">
        <v>3</v>
      </c>
      <c r="I27" s="1"/>
    </row>
    <row r="28" spans="1:9" x14ac:dyDescent="0.25">
      <c r="A28" s="1"/>
      <c r="B28" s="98" t="s">
        <v>93</v>
      </c>
      <c r="C28" s="99"/>
      <c r="D28" s="99"/>
      <c r="E28" s="99"/>
      <c r="F28" s="100"/>
      <c r="G28" s="26">
        <f>(G26+G27)*'Fane 15. Nøgletal'!C25</f>
        <v>1880848.6595249088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5" t="s">
        <v>100</v>
      </c>
      <c r="C31" s="86"/>
      <c r="D31" s="86"/>
      <c r="E31" s="86"/>
      <c r="F31" s="86"/>
      <c r="G31" s="86"/>
      <c r="H31" s="87"/>
      <c r="I31" s="1"/>
    </row>
    <row r="32" spans="1:9" x14ac:dyDescent="0.25">
      <c r="A32" s="1"/>
      <c r="B32" s="98" t="s">
        <v>101</v>
      </c>
      <c r="C32" s="99"/>
      <c r="D32" s="99"/>
      <c r="E32" s="99"/>
      <c r="F32" s="100"/>
      <c r="G32" s="26">
        <f>(G26+G27-G28)*(1+'Fane 15. Nøgletal'!C12)</f>
        <v>93977167.527759925</v>
      </c>
      <c r="H32" s="14" t="s">
        <v>3</v>
      </c>
      <c r="I32" s="1"/>
    </row>
    <row r="33" spans="1:9" x14ac:dyDescent="0.25">
      <c r="A33" s="1"/>
      <c r="B33" s="98" t="s">
        <v>149</v>
      </c>
      <c r="C33" s="99"/>
      <c r="D33" s="99"/>
      <c r="E33" s="99"/>
      <c r="F33" s="100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8" t="s">
        <v>102</v>
      </c>
      <c r="C34" s="99"/>
      <c r="D34" s="99"/>
      <c r="E34" s="99"/>
      <c r="F34" s="100"/>
      <c r="G34" s="26">
        <f>(G32+G33)*'Fane 15. Nøgletal'!C25</f>
        <v>1879543.3505551985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5" t="s">
        <v>127</v>
      </c>
      <c r="C37" s="86"/>
      <c r="D37" s="86"/>
      <c r="E37" s="86"/>
      <c r="F37" s="86"/>
      <c r="G37" s="86"/>
      <c r="H37" s="87"/>
      <c r="I37" s="1"/>
    </row>
    <row r="38" spans="1:9" x14ac:dyDescent="0.25">
      <c r="A38" s="1"/>
      <c r="B38" s="98" t="s">
        <v>126</v>
      </c>
      <c r="C38" s="99"/>
      <c r="D38" s="99"/>
      <c r="E38" s="99"/>
      <c r="F38" s="100"/>
      <c r="G38" s="26">
        <f>(G32-G34)*(1+'Fane 15. Nøgletal'!C12)</f>
        <v>93911947.373495668</v>
      </c>
      <c r="H38" s="14" t="s">
        <v>3</v>
      </c>
      <c r="I38" s="1"/>
    </row>
    <row r="39" spans="1:9" x14ac:dyDescent="0.25">
      <c r="A39" s="1"/>
      <c r="B39" s="98" t="s">
        <v>150</v>
      </c>
      <c r="C39" s="99"/>
      <c r="D39" s="99"/>
      <c r="E39" s="99"/>
      <c r="F39" s="100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8" t="s">
        <v>103</v>
      </c>
      <c r="C40" s="99"/>
      <c r="D40" s="99"/>
      <c r="E40" s="99"/>
      <c r="F40" s="100"/>
      <c r="G40" s="26">
        <f>(G38+G39)*'Fane 15. Nøgletal'!C25</f>
        <v>1878238.9474699134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5" t="s">
        <v>128</v>
      </c>
      <c r="C43" s="86"/>
      <c r="D43" s="86"/>
      <c r="E43" s="86"/>
      <c r="F43" s="86"/>
      <c r="G43" s="86"/>
      <c r="H43" s="87"/>
      <c r="I43" s="1"/>
    </row>
    <row r="44" spans="1:9" x14ac:dyDescent="0.25">
      <c r="A44" s="1"/>
      <c r="B44" s="98" t="s">
        <v>125</v>
      </c>
      <c r="C44" s="99"/>
      <c r="D44" s="99"/>
      <c r="E44" s="99"/>
      <c r="F44" s="100"/>
      <c r="G44" s="26">
        <f>(G38-G40)*(1+'Fane 15. Nøgletal'!C12)</f>
        <v>93846772.482018456</v>
      </c>
      <c r="H44" s="14" t="s">
        <v>3</v>
      </c>
      <c r="I44" s="1"/>
    </row>
    <row r="45" spans="1:9" x14ac:dyDescent="0.25">
      <c r="A45" s="1"/>
      <c r="B45" s="98" t="s">
        <v>151</v>
      </c>
      <c r="C45" s="99"/>
      <c r="D45" s="99"/>
      <c r="E45" s="99"/>
      <c r="F45" s="100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8" t="s">
        <v>104</v>
      </c>
      <c r="C46" s="99"/>
      <c r="D46" s="99"/>
      <c r="E46" s="99"/>
      <c r="F46" s="100"/>
      <c r="G46" s="26">
        <f>(G44+G45)*'Fane 15. Nøgletal'!C25</f>
        <v>1876935.449640369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EQu6k+kHHRq5+a0PM50jyTKf9ARO75CAGa0XKWg045X05YtAqIY1tpZFnu6bO2bap+VcDu/4XcCES/eTvf9eQ==" saltValue="ebkijYKbuDj8K73sTH3eLQ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219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57"/>
      <c r="C3" s="57"/>
      <c r="D3" s="57"/>
      <c r="E3" s="57"/>
      <c r="F3" s="57"/>
      <c r="G3" s="57"/>
      <c r="H3" s="57"/>
      <c r="I3" s="1"/>
    </row>
    <row r="4" spans="1:9" x14ac:dyDescent="0.25">
      <c r="A4" s="1"/>
      <c r="B4" s="85" t="s">
        <v>98</v>
      </c>
      <c r="C4" s="86"/>
      <c r="D4" s="86"/>
      <c r="E4" s="86"/>
      <c r="F4" s="86"/>
      <c r="G4" s="86"/>
      <c r="H4" s="87"/>
      <c r="I4" s="1"/>
    </row>
    <row r="5" spans="1:9" x14ac:dyDescent="0.25">
      <c r="A5" s="1"/>
      <c r="B5" s="98" t="s">
        <v>105</v>
      </c>
      <c r="C5" s="99"/>
      <c r="D5" s="99"/>
      <c r="E5" s="99"/>
      <c r="F5" s="100"/>
      <c r="G5" s="26">
        <v>153786343.80283734</v>
      </c>
      <c r="H5" s="14" t="s">
        <v>3</v>
      </c>
      <c r="I5" s="1"/>
    </row>
    <row r="6" spans="1:9" x14ac:dyDescent="0.25">
      <c r="A6" s="1"/>
      <c r="B6" s="98" t="s">
        <v>99</v>
      </c>
      <c r="C6" s="99"/>
      <c r="D6" s="99"/>
      <c r="E6" s="99"/>
      <c r="F6" s="100"/>
      <c r="G6" s="26">
        <f>G5*'Fane 15. Nøgletal'!C17</f>
        <v>1399455.7286058199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5" t="s">
        <v>106</v>
      </c>
      <c r="C9" s="86"/>
      <c r="D9" s="86"/>
      <c r="E9" s="86"/>
      <c r="F9" s="86"/>
      <c r="G9" s="86"/>
      <c r="H9" s="87"/>
      <c r="I9" s="1"/>
    </row>
    <row r="10" spans="1:9" x14ac:dyDescent="0.25">
      <c r="A10" s="1"/>
      <c r="B10" s="98" t="s">
        <v>107</v>
      </c>
      <c r="C10" s="99"/>
      <c r="D10" s="99"/>
      <c r="E10" s="99"/>
      <c r="F10" s="100"/>
      <c r="G10" s="26">
        <f>(G5-G6)*(1+'Fane 15. Nøgletal'!C10)</f>
        <v>155053658.61553061</v>
      </c>
      <c r="H10" s="14" t="s">
        <v>3</v>
      </c>
      <c r="I10" s="1"/>
    </row>
    <row r="11" spans="1:9" x14ac:dyDescent="0.25">
      <c r="A11" s="1"/>
      <c r="B11" s="98" t="s">
        <v>245</v>
      </c>
      <c r="C11" s="99"/>
      <c r="D11" s="99"/>
      <c r="E11" s="99"/>
      <c r="F11" s="100"/>
      <c r="G11" s="26">
        <v>-839589.86806518084</v>
      </c>
      <c r="H11" s="14" t="s">
        <v>3</v>
      </c>
      <c r="I11" s="1"/>
    </row>
    <row r="12" spans="1:9" x14ac:dyDescent="0.25">
      <c r="A12" s="1"/>
      <c r="B12" s="101" t="s">
        <v>108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109</v>
      </c>
      <c r="C13" s="99"/>
      <c r="D13" s="99"/>
      <c r="E13" s="99"/>
      <c r="F13" s="100"/>
      <c r="G13" s="26">
        <f>SUM(G10:G12)*'Fane 15. Nøgletal'!C18</f>
        <v>2729589.0168301384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5" t="s">
        <v>110</v>
      </c>
      <c r="C16" s="86"/>
      <c r="D16" s="86"/>
      <c r="E16" s="86"/>
      <c r="F16" s="86"/>
      <c r="G16" s="86"/>
      <c r="H16" s="87"/>
      <c r="I16" s="1"/>
    </row>
    <row r="17" spans="1:9" x14ac:dyDescent="0.25">
      <c r="A17" s="1"/>
      <c r="B17" s="98" t="s">
        <v>111</v>
      </c>
      <c r="C17" s="99"/>
      <c r="D17" s="99"/>
      <c r="E17" s="99"/>
      <c r="F17" s="100"/>
      <c r="G17" s="26">
        <f>(SUM(G10:G12)-G13)*(1+'Fane 15. Nøgletal'!C10)</f>
        <v>154135458.12592143</v>
      </c>
      <c r="H17" s="14" t="s">
        <v>3</v>
      </c>
      <c r="I17" s="1"/>
    </row>
    <row r="18" spans="1:9" x14ac:dyDescent="0.25">
      <c r="A18" s="1"/>
      <c r="B18" s="101" t="s">
        <v>112</v>
      </c>
      <c r="C18" s="102"/>
      <c r="D18" s="102"/>
      <c r="E18" s="102"/>
      <c r="F18" s="103"/>
      <c r="G18" s="26">
        <v>3323768.3085180991</v>
      </c>
      <c r="H18" s="14" t="s">
        <v>3</v>
      </c>
      <c r="I18" s="1"/>
    </row>
    <row r="19" spans="1:9" x14ac:dyDescent="0.25">
      <c r="A19" s="1"/>
      <c r="B19" s="98" t="s">
        <v>113</v>
      </c>
      <c r="C19" s="99"/>
      <c r="D19" s="99"/>
      <c r="E19" s="99"/>
      <c r="F19" s="100"/>
      <c r="G19" s="26">
        <f>G17*'Fane 15. Nøgletal'!C18+G18*'Fane 15. Nøgletal'!C19</f>
        <v>2757114.393112917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5" t="s">
        <v>114</v>
      </c>
      <c r="C22" s="86"/>
      <c r="D22" s="86"/>
      <c r="E22" s="86"/>
      <c r="F22" s="86"/>
      <c r="G22" s="86"/>
      <c r="H22" s="87"/>
      <c r="I22" s="1"/>
    </row>
    <row r="23" spans="1:9" x14ac:dyDescent="0.25">
      <c r="A23" s="1"/>
      <c r="B23" s="98" t="s">
        <v>115</v>
      </c>
      <c r="C23" s="99"/>
      <c r="D23" s="99"/>
      <c r="E23" s="99"/>
      <c r="F23" s="100"/>
      <c r="G23" s="26">
        <f>(G17+G18-G19)*(1+'Fane 15. Nøgletal'!C12)</f>
        <v>157749743.64854077</v>
      </c>
      <c r="H23" s="14" t="s">
        <v>3</v>
      </c>
      <c r="I23" s="1"/>
    </row>
    <row r="24" spans="1:9" x14ac:dyDescent="0.25">
      <c r="A24" s="1"/>
      <c r="B24" s="101" t="s">
        <v>116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15. Nøgletal'!C12)</f>
        <v>2927280.7363101593</v>
      </c>
      <c r="H24" s="14" t="s">
        <v>3</v>
      </c>
      <c r="I24" s="1"/>
    </row>
    <row r="25" spans="1:9" x14ac:dyDescent="0.25">
      <c r="A25" s="1"/>
      <c r="B25" s="98" t="s">
        <v>117</v>
      </c>
      <c r="C25" s="99"/>
      <c r="D25" s="99"/>
      <c r="E25" s="99"/>
      <c r="F25" s="100"/>
      <c r="G25" s="26">
        <f>(G23+G24)*'Fane 15. Nøgletal'!C20</f>
        <v>4563227.4925297666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5" t="s">
        <v>118</v>
      </c>
      <c r="C28" s="86"/>
      <c r="D28" s="86"/>
      <c r="E28" s="86"/>
      <c r="F28" s="86"/>
      <c r="G28" s="86"/>
      <c r="H28" s="8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15. Nøgletal'!C12)</f>
        <v>159189238.69109988</v>
      </c>
      <c r="H29" s="14" t="s">
        <v>3</v>
      </c>
      <c r="I29" s="1"/>
    </row>
    <row r="30" spans="1:9" x14ac:dyDescent="0.25">
      <c r="A30" s="1"/>
      <c r="B30" s="98" t="s">
        <v>155</v>
      </c>
      <c r="C30" s="99"/>
      <c r="D30" s="99"/>
      <c r="E30" s="99"/>
      <c r="F30" s="100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8" t="s">
        <v>120</v>
      </c>
      <c r="C31" s="99"/>
      <c r="D31" s="99"/>
      <c r="E31" s="99"/>
      <c r="F31" s="100"/>
      <c r="G31" s="26">
        <f>(G29+G30)*'Fane 15. Nøgletal'!C20</f>
        <v>4520974.3788272366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5" t="s">
        <v>129</v>
      </c>
      <c r="C34" s="86"/>
      <c r="D34" s="86"/>
      <c r="E34" s="86"/>
      <c r="F34" s="86"/>
      <c r="G34" s="86"/>
      <c r="H34" s="87"/>
      <c r="I34" s="1"/>
    </row>
    <row r="35" spans="1:9" x14ac:dyDescent="0.25">
      <c r="A35" s="1"/>
      <c r="B35" s="98" t="s">
        <v>124</v>
      </c>
      <c r="C35" s="99"/>
      <c r="D35" s="99"/>
      <c r="E35" s="99"/>
      <c r="F35" s="100"/>
      <c r="G35" s="26">
        <f>(G29+G30-G31)*(1+'Fane 15. Nøgletal'!C12)</f>
        <v>157715229.11922443</v>
      </c>
      <c r="H35" s="14" t="s">
        <v>3</v>
      </c>
      <c r="I35" s="1"/>
    </row>
    <row r="36" spans="1:9" x14ac:dyDescent="0.25">
      <c r="A36" s="1"/>
      <c r="B36" s="98" t="s">
        <v>156</v>
      </c>
      <c r="C36" s="99"/>
      <c r="D36" s="99"/>
      <c r="E36" s="99"/>
      <c r="F36" s="100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8" t="s">
        <v>121</v>
      </c>
      <c r="C37" s="99"/>
      <c r="D37" s="99"/>
      <c r="E37" s="99"/>
      <c r="F37" s="100"/>
      <c r="G37" s="26">
        <f>(G35+G36)*'Fane 15. Nøgletal'!C20</f>
        <v>4479112.5069859745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5" t="s">
        <v>130</v>
      </c>
      <c r="C40" s="86"/>
      <c r="D40" s="86"/>
      <c r="E40" s="86"/>
      <c r="F40" s="86"/>
      <c r="G40" s="86"/>
      <c r="H40" s="87"/>
      <c r="I40" s="1"/>
    </row>
    <row r="41" spans="1:9" x14ac:dyDescent="0.25">
      <c r="A41" s="1"/>
      <c r="B41" s="98" t="s">
        <v>123</v>
      </c>
      <c r="C41" s="99"/>
      <c r="D41" s="99"/>
      <c r="E41" s="99"/>
      <c r="F41" s="100"/>
      <c r="G41" s="26">
        <f>(G35+G36-G37)*(1+'Fane 15. Nøgletal'!C12)</f>
        <v>156254868.10949957</v>
      </c>
      <c r="H41" s="14" t="s">
        <v>3</v>
      </c>
      <c r="I41" s="1"/>
    </row>
    <row r="42" spans="1:9" x14ac:dyDescent="0.25">
      <c r="A42" s="1"/>
      <c r="B42" s="98" t="s">
        <v>157</v>
      </c>
      <c r="C42" s="99"/>
      <c r="D42" s="99"/>
      <c r="E42" s="99"/>
      <c r="F42" s="100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8" t="s">
        <v>122</v>
      </c>
      <c r="C43" s="99"/>
      <c r="D43" s="99"/>
      <c r="E43" s="99"/>
      <c r="F43" s="100"/>
      <c r="G43" s="26">
        <f>(G41+G42)*'Fane 15. Nøgletal'!C20</f>
        <v>4437638.2543097883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rYagmiIwXUsz1MBUW1LB65P11YIFWu57qN5QjWf1c1nfSt2NxCkCk6y8kKS+BZcgRuvG02tTBQtQZKdWf20DQ==" saltValue="1W3m6pEahubRSDu5euUoj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148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10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98" t="s">
        <v>131</v>
      </c>
      <c r="C9" s="99"/>
      <c r="D9" s="99"/>
      <c r="E9" s="99"/>
      <c r="F9" s="100"/>
      <c r="G9" s="25">
        <v>1.1123892467753661E-3</v>
      </c>
      <c r="H9" s="14"/>
      <c r="I9" s="1"/>
    </row>
    <row r="10" spans="1:9" x14ac:dyDescent="0.25">
      <c r="A10" s="1"/>
      <c r="B10" s="98" t="s">
        <v>132</v>
      </c>
      <c r="C10" s="99"/>
      <c r="D10" s="99"/>
      <c r="E10" s="99"/>
      <c r="F10" s="100"/>
      <c r="G10" s="25">
        <v>4.5263380820921399E-3</v>
      </c>
      <c r="H10" s="14"/>
      <c r="I10" s="1"/>
    </row>
    <row r="11" spans="1:9" x14ac:dyDescent="0.25">
      <c r="A11" s="1"/>
      <c r="B11" s="98" t="s">
        <v>133</v>
      </c>
      <c r="C11" s="99"/>
      <c r="D11" s="99"/>
      <c r="E11" s="99"/>
      <c r="F11" s="100"/>
      <c r="G11" s="43">
        <v>7.8695404484839318E-3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5" t="s">
        <v>78</v>
      </c>
      <c r="C14" s="105"/>
      <c r="D14" s="105"/>
      <c r="E14" s="105"/>
      <c r="F14" s="105"/>
      <c r="G14" s="105"/>
      <c r="H14" s="105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IteY8DcBdNKuwmejs62ObQxyV0fg0KRpLk7cCJWPcDcx5nkmyZkCJKVHTqI8CCrVj4DNj/KaFkUWV5R/5Nsuw==" saltValue="6hRQNWod/9HgBy/9Apqer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2019-10-14T16:00:36Z</dcterms:modified>
</cp:coreProperties>
</file>