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une Vandværk a.m.b.a. (V189)\ØR2019\"/>
    </mc:Choice>
  </mc:AlternateContent>
  <bookViews>
    <workbookView xWindow="3105" yWindow="990" windowWidth="12735" windowHeight="4620" tabRatio="915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62913"/>
</workbook>
</file>

<file path=xl/calcChain.xml><?xml version="1.0" encoding="utf-8"?>
<calcChain xmlns="http://schemas.openxmlformats.org/spreadsheetml/2006/main">
  <c r="E14" i="19" l="1"/>
  <c r="E17" i="19" s="1"/>
  <c r="E18" i="19" s="1"/>
  <c r="E16" i="19"/>
  <c r="C20" i="15" l="1"/>
  <c r="C22" i="15" s="1"/>
  <c r="E22" i="15" s="1"/>
  <c r="C21" i="2"/>
  <c r="C23" i="2" s="1"/>
  <c r="E23" i="2" s="1"/>
  <c r="C11" i="2"/>
  <c r="F13" i="20"/>
  <c r="F12" i="20"/>
  <c r="D12" i="20"/>
  <c r="D13" i="20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E11" i="21"/>
  <c r="E12" i="21" s="1"/>
  <c r="C11" i="21"/>
  <c r="C12" i="21" s="1"/>
  <c r="C10" i="2"/>
  <c r="C10" i="15" s="1"/>
  <c r="C9" i="2"/>
  <c r="C18" i="23" l="1"/>
  <c r="C19" i="22"/>
  <c r="C21" i="22" s="1"/>
  <c r="E21" i="22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G11" i="7" l="1"/>
  <c r="E11" i="11" l="1"/>
  <c r="F10" i="20" s="1"/>
  <c r="E30" i="2"/>
  <c r="C13" i="2" l="1"/>
  <c r="C11" i="15"/>
  <c r="E23" i="22"/>
  <c r="C14" i="2" l="1"/>
  <c r="C15" i="2" s="1"/>
  <c r="E15" i="2" s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<sst xmlns="http://schemas.openxmlformats.org/spreadsheetml/2006/main" count="368" uniqueCount="162">
  <si>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</si>
  <si>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</si>
  <si>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</si>
  <si>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</si>
  <si>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</si>
  <si>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</si>
  <si>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</si>
  <si>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</si>
  <si>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</si>
  <si>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</si>
  <si>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</si>
  <si>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</si>
  <si>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</si>
  <si>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</si>
  <si>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</si>
  <si>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</si>
  <si>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</si>
  <si>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</si>
  <si>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</si>
  <si>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</si>
  <si>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</si>
  <si>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</si>
  <si>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</si>
  <si>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</si>
  <si>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</si>
  <si>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</si>
  <si>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</si>
  <si>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</si>
  <si>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</si>
  <si>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</si>
  <si>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</si>
  <si>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</si>
  <si>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</si>
  <si>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</si>
  <si>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</si>
  <si>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</si>
  <si>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</si>
  <si>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</si>
  <si>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</si>
  <si>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</si>
  <si>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</si>
  <si>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</si>
  <si>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</si>
  <si>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</si>
  <si>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</si>
  <si>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</si>
  <si>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</si>
  <si>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</si>
  <si>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</si>
  <si>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</si>
  <si>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</si>
  <si>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</si>
  <si>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</si>
  <si>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</si>
  <si>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</si>
  <si>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</si>
  <si>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</si>
  <si>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</si>
  <si>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</si>
  <si>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</si>
  <si>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</si>
  <si>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</si>
  <si>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</si>
  <si>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</si>
  <si>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</si>
  <si>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</si>
  <si>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</si>
  <si>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</si>
  <si>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</si>
  <si>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</si>
  <si>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</si>
  <si>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</si>
  <si>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</si>
  <si>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</si>
  <si>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</si>
  <si>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</si>
  <si>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</si>
  <si>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</si>
  <si>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</si>
  <si>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</si>
  <si>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</si>
  <si>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</si>
  <si>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</si>
  <si>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</si>
  <si>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</si>
  <si>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</si>
  <si>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</si>
  <si>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</si>
  <si>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</si>
  <si>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</si>
  <si>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</si>
  <si>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</si>
  <si>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</si>
  <si>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</si>
  <si>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</si>
  <si>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</si>
  <si>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</si>
  <si>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</si>
  <si>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</si>
  <si>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</si>
  <si>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</si>
  <si>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</si>
  <si>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</si>
  <si>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</si>
  <si>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</si>
  <si>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</si>
  <si>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</si>
  <si>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</si>
  <si>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</si>
  <si>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</si>
  <si>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</si>
  <si>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</si>
  <si>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</si>
  <si>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</si>
  <si>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</si>
  <si>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</si>
  <si>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</si>
  <si>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</si>
  <si>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</si>
  <si>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</si>
  <si>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</si>
  <si>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</si>
  <si>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</si>
  <si>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</si>
  <si>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</si>
  <si>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</si>
  <si>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</si>
  <si>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</si>
  <si>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</si>
  <si>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</si>
  <si>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</si>
  <si>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</si>
  <si>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</si>
  <si>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</si>
  <si>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</si>
  <si>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</si>
  <si>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</si>
  <si>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</si>
  <si>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</si>
  <si>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</si>
  <si>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</si>
  <si>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</si>
  <si>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</si>
  <si>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</si>
  <si>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</si>
  <si>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</si>
  <si>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</si>
  <si>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</si>
  <si>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</si>
  <si>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</si>
  <si>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Erstatninger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</si>
  <si>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</si>
  <si>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</si>
  <si>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</si>
  <si>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</si>
  <si>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</si>
  <si>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</si>
  <si>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</si>
  <si>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</si>
  <si>
    <t>Tillæg som følge af fusion</t>
  </si>
  <si>
    <t xml:space="preserve">Vandsamarbejde i medfør af § 48 i vandforsyningsloven </t>
  </si>
  <si>
    <t>Afgift af ledningsføt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</si>
</sst>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3" fontId="8" fillId="9" borderId="1" xfId="0" applyNumberFormat="1" applyFont="1" applyFill="1" applyBorder="1" applyAlignment="1" applyProtection="1">
      <alignment vertical="center"/>
    </xf>
    <xf numFmtId="0" fontId="8" fillId="9" borderId="1" xfId="0" applyFont="1" applyFill="1" applyBorder="1" applyAlignment="1" applyProtection="1">
      <alignment vertic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>
      <selection activeCell="C6" sqref="C6"/>
    </sheetView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103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32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31</v>
      </c>
      <c r="D14" s="71" t="s">
        <v>96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94</v>
      </c>
      <c r="D15" s="71" t="s">
        <v>97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95</v>
      </c>
      <c r="D16" s="71" t="s">
        <v>132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7</v>
      </c>
      <c r="D17" s="80" t="s">
        <v>98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99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129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75" t="s">
        <v>101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12</v>
      </c>
      <c r="D22" s="75" t="s">
        <v>130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13</v>
      </c>
      <c r="D23" s="75" t="s">
        <v>104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25</v>
      </c>
      <c r="D24" s="68" t="s">
        <v>28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29</v>
      </c>
      <c r="D25" s="65" t="s">
        <v>102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30</v>
      </c>
      <c r="D26" s="65" t="s">
        <v>65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p2+BJivikjf0D00Vcv+o0Mp7esEdbUbhyD9cmAFsq8Hqk60IbRYv57m/BrJyoUycI5pcbBsQ6Gl/34/gxt6lMA==" saltValue="TJWdqK/61tPLeOjzXw7jAQ==" spinCount="100000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-2100026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-1657801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-442225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-221112.5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U/Jqin4iLHd3OJY2ZHUHCnbiaI+vm4qb5J2YUkiJ370KmiLFegyaCA8EFBkvbZ3TAklaPCKV29gbHMo1uGNKA==" saltValue="IA4wes5BipVU1y/8mEQl1w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105</v>
      </c>
      <c r="C9" s="93"/>
      <c r="D9" s="94"/>
      <c r="E9" s="11">
        <v>3748372.6430000002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106</v>
      </c>
      <c r="C10" s="93"/>
      <c r="D10" s="94"/>
      <c r="E10" s="11">
        <v>4824120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113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107</v>
      </c>
      <c r="C12" s="99"/>
      <c r="D12" s="100"/>
      <c r="E12" s="17">
        <f>E9-(E10-E11)</f>
        <v>-1075747.3569999998</v>
      </c>
      <c r="F12" s="25" t="s">
        <v>3</v>
      </c>
      <c r="G12" s="17">
        <f>E12</f>
        <v>-1075747.3569999998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114</v>
      </c>
      <c r="C18" s="96"/>
      <c r="D18" s="97"/>
      <c r="E18" s="11">
        <f>IF(E12&lt;0,E12,0)</f>
        <v>-1075747.3569999998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116</v>
      </c>
      <c r="C20" s="96"/>
      <c r="D20" s="97"/>
      <c r="E20" s="11">
        <f>E18/E19</f>
        <v>-268936.83924999996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118</v>
      </c>
      <c r="C21" s="90"/>
      <c r="D21" s="90"/>
      <c r="E21" s="90"/>
      <c r="F21" s="91"/>
      <c r="G21" s="20">
        <f>E20</f>
        <v>-268936.83924999996</v>
      </c>
      <c r="H21" s="21" t="s">
        <v>3</v>
      </c>
      <c r="I21" s="1"/>
    </row>
    <row r="22" spans="1:9" x14ac:dyDescent="0.25">
      <c r="A22" s="1"/>
      <c r="B22" s="89" t="s">
        <v>119</v>
      </c>
      <c r="C22" s="90"/>
      <c r="D22" s="90"/>
      <c r="E22" s="90"/>
      <c r="F22" s="91"/>
      <c r="G22" s="20">
        <f>G21*(1+Prisudvikling2019)^4</f>
        <v>-287583.05025227764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wYFtq1RgtLJCyXwsPbl6pQR/XQLLKlA3pB9nnMrmxIgN/ynt8GoOQtz1YAE/N5F3qY2ry4sZNLqZs1OWormtw==" saltValue="8UsJHE1AzSlHqYxOu+2sWQ==" spinCount="100000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140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9" t="s">
        <v>143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8m15L0FEGsTTmFh69ru2qi1Wo/YuTHy0cw6bquJ/knmi1hpV+/J9KHyYkG6g4gJaVCyaaD5i76wCMHnCswFTQ==" saltValue="XPYKKl89YB8RFRFhuatzgw==" spinCount="100000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>
      <selection activeCell="F13" sqref="F13"/>
    </sheetView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93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56" t="s">
        <v>159</v>
      </c>
      <c r="C11" s="57"/>
      <c r="D11" s="58">
        <v>363434.36125000002</v>
      </c>
      <c r="E11" s="22" t="s">
        <v>3</v>
      </c>
      <c r="F11" s="11">
        <v>304750.91454971879</v>
      </c>
      <c r="G11" s="22" t="s">
        <v>3</v>
      </c>
      <c r="H11" s="1"/>
    </row>
    <row r="12" spans="1:8" x14ac:dyDescent="0.25">
      <c r="A12" s="1"/>
      <c r="B12" s="38" t="s">
        <v>146</v>
      </c>
      <c r="C12" s="40"/>
      <c r="D12" s="20">
        <f>SUM(D10:D11)</f>
        <v>363434.36125000002</v>
      </c>
      <c r="E12" s="21" t="s">
        <v>3</v>
      </c>
      <c r="F12" s="20">
        <f>SUM(F10:F11)</f>
        <v>304750.91454971879</v>
      </c>
      <c r="G12" s="21" t="s">
        <v>3</v>
      </c>
      <c r="H12" s="1"/>
    </row>
    <row r="13" spans="1:8" x14ac:dyDescent="0.25">
      <c r="A13" s="1"/>
      <c r="B13" s="38" t="s">
        <v>147</v>
      </c>
      <c r="C13" s="40"/>
      <c r="D13" s="20">
        <f>D12*(1+Prisudvikling2019)</f>
        <v>369576.40195512498</v>
      </c>
      <c r="E13" s="21" t="s">
        <v>3</v>
      </c>
      <c r="F13" s="20">
        <f>F12*(1+Prisudvikling2019)</f>
        <v>309901.20500560902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RM9P/ZgZ44U+XWK+7H5IwG6THzBmmJydO3KwCLOELVmfmIPS7TR6VM0lGlIQkFcoqnxXNmFlbKCt84t3mzxb1w==" saltValue="NmDjZ+cQU6fbTLPdCkceMw==" spinCount="100000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157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OD+rMGAUG6A7k/7bsIpjqTnLfqFEvjel2eyP2BNGArmNdIjAQ+cLxX2HaZyrQ+ufN9S/e74B6NPhXuUFfh6/g==" saltValue="DD2ftADoMehucgtGvjpjt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>
      <selection activeCell="B22" sqref="B22"/>
    </sheetView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fQxZg2Fz3f9ouYCci+S7cFZnYnqmHzErWTCsBVja5T86vi0+KT/5abq8M5WjRyqVwLVPDGSvLRWWmz+aDmP+PQ==" saltValue="XoFlCVtjjKqPxso8yA67IQ==" spinCount="100000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topLeftCell="A7" zoomScaleNormal="100" workbookViewId="0">
      <selection activeCell="B8" sqref="B8:F31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3357393.7420775769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679477.606960734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54122.072082021623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-69546.888159045659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4021446.5329612871</v>
      </c>
      <c r="D15" s="18" t="s">
        <v>3</v>
      </c>
      <c r="E15" s="17">
        <f>C15</f>
        <v>4021446.5329612871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omk.'!E18</f>
        <v>1773562.8990368913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1773562.8990368913</v>
      </c>
      <c r="D23" s="18" t="s">
        <v>3</v>
      </c>
      <c r="E23" s="17">
        <f>C23</f>
        <v>1773562.8990368913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7396.8291745327488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7396.8291745327488</v>
      </c>
      <c r="D28" s="18" t="s">
        <v>3</v>
      </c>
      <c r="E28" s="17">
        <f>C28</f>
        <v>7396.8291745327488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-221112.5</v>
      </c>
      <c r="D30" s="18" t="s">
        <v>3</v>
      </c>
      <c r="E30" s="17">
        <f>C30</f>
        <v>-221112.5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5581293.7611727109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UNVzLQRecwWcI15suMHCSB2DIFWhr3PQKDsQsyF2ialULJBaFx6mgU/NPGha0VGKGqC3/JlwySasXKnM/fTrvg==" saltValue="SFAk2sCaXtP/WvbslLcDK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>
      <selection activeCell="B8" sqref="B8:F25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4021446.5329612871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679214.4452835581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53925.071638799287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-69281.317278201474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4006090.2873218847</v>
      </c>
      <c r="D14" s="18" t="s">
        <v>3</v>
      </c>
      <c r="E14" s="17">
        <f>C14</f>
        <v>4006090.2873218847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omk.'!E18*(1+Prisudvikling2019)</f>
        <v>1803536.1120306146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1803536.1120306146</v>
      </c>
      <c r="D22" s="18" t="s">
        <v>3</v>
      </c>
      <c r="E22" s="17">
        <f>C22</f>
        <v>1803536.1120306146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-221112.5</v>
      </c>
      <c r="D24" s="18" t="s">
        <v>3</v>
      </c>
      <c r="E24" s="17">
        <f>C24</f>
        <v>-221112.5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5588513.8993524993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cmeHkrsTYCr34Si5NOAeC6kc2KwXyCHlcpgOp3zhKhN+jHDk56w/88QCUBIWCoFssGVCj+j2iX38QUMs6XQG7A==" saltValue="Z4YitKqGC1VZgXojhwhl8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topLeftCell="A7" zoomScaleNormal="100" workbookViewId="0">
      <selection activeCell="B8" sqref="B8:F28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4006090.2873218847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-121056.7940196017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65657.066036808581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-67161.739508764556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3883528.8198303273</v>
      </c>
      <c r="D13" s="18" t="s">
        <v>3</v>
      </c>
      <c r="E13" s="17">
        <f>C13</f>
        <v>3883528.8198303273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omk.'!E18*(1+Prisudvikling2019)^2</f>
        <v>1834015.8723239317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1834015.8723239317</v>
      </c>
      <c r="D21" s="18" t="s">
        <v>3</v>
      </c>
      <c r="E21" s="17">
        <f>C21</f>
        <v>1834015.8723239317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-147717.62400659948</v>
      </c>
      <c r="D23" s="18" t="s">
        <v>3</v>
      </c>
      <c r="E23" s="17">
        <f>C23</f>
        <v>-147717.62400659948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8564.0879018865835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-287583.05025227764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-279018.96235039103</v>
      </c>
      <c r="D27" s="36" t="s">
        <v>3</v>
      </c>
      <c r="E27" s="17">
        <f>C27</f>
        <v>-279018.96235039103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5290808.1057972685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ceFVUceIWkqagoAAy+XybCTmZyRd4HxlK6g2wE9sdtvkzmzeCVf9X02oCdtPcDBAJoDb0V5wdCsTxBRds7hRw==" saltValue="aQmJfPlk31daztPigp4TpQ==" spinCount="100000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topLeftCell="A4" zoomScaleNormal="100" workbookViewId="0">
      <selection activeCell="C25" sqref="C25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3883528.8198303273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65631.637055132524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-67135.727767052827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3882024.7291184068</v>
      </c>
      <c r="D12" s="18" t="s">
        <v>3</v>
      </c>
      <c r="E12" s="17">
        <f>C12</f>
        <v>3882024.7291184068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omk.'!E18*(1+Prisudvikling2019)^3</f>
        <v>1865010.7405662059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1865010.7405662059</v>
      </c>
      <c r="D20" s="18" t="s">
        <v>3</v>
      </c>
      <c r="E20" s="17">
        <f>C20</f>
        <v>1865010.7405662059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-150214.05185231101</v>
      </c>
      <c r="D22" s="18" t="s">
        <v>3</v>
      </c>
      <c r="E22" s="17">
        <f>C22</f>
        <v>-150214.05185231101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8708.8209874284657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-292443.20380154112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-283734.38281411264</v>
      </c>
      <c r="D26" s="36" t="s">
        <v>3</v>
      </c>
      <c r="E26" s="17">
        <f>C26</f>
        <v>-283734.38281411264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5313087.0350181889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69x1cyiKRfPFVwa4Gbh1E6hBLMXmrGsFycw0BGwLoxt3dWj0CFtM8M8uW8vwqDrSOIAzSKs0OaTBu8pcPhj/Bw==" saltValue="/o3u3u1xfk0sYqGHvg6G3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4651985.5019775769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1294591.7598999999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3357393.7420775769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e2zOxEGuKSbVi1YItNyN6cwa3+Q8U2wII4weXA/H1Q0cn08bZ5f+fJwF4ISqOBqCRKLh60o9zFWw+Ewrslh7w==" saltValue="R3QmPhJIv4f8+Ay+rCUGNA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138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1492565.7042711065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1938455.1890312182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3431020.8933023247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1323226.7193261066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1992673.2077107185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3315899.9270368251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-169338.98494499992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54218.018679500325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-115120.96626549959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-121056.7940196017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TgP/LFXluSMMzF+pA1OyMudt7dR7/u186QOPtTwGf2hZXQBjJG7RBLJlPeWXd0Fn+XAu6g9ofzHulHbWxeTXg==" saltValue="O5jrlQ1Wzt2+yXKVwRBq+Q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4"/>
  <sheetViews>
    <sheetView showGridLines="0" view="pageLayout" zoomScaleNormal="100" workbookViewId="0">
      <selection activeCell="E18" sqref="E18"/>
    </sheetView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133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156</v>
      </c>
      <c r="C10" s="46"/>
      <c r="D10" s="47"/>
      <c r="E10" s="11">
        <v>1419826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2956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413.56</v>
      </c>
      <c r="F12" s="22" t="s">
        <v>3</v>
      </c>
      <c r="G12" s="1"/>
      <c r="H12" s="1"/>
    </row>
    <row r="13" spans="1:8" ht="15" customHeight="1" x14ac:dyDescent="0.25">
      <c r="A13" s="1"/>
      <c r="B13" s="41" t="s">
        <v>151</v>
      </c>
      <c r="C13" s="46"/>
      <c r="D13" s="47"/>
      <c r="E13" s="11">
        <v>12500</v>
      </c>
      <c r="F13" s="22" t="s">
        <v>3</v>
      </c>
      <c r="G13" s="1"/>
      <c r="H13" s="1"/>
    </row>
    <row r="14" spans="1:8" ht="26.25" x14ac:dyDescent="0.25">
      <c r="A14" s="1"/>
      <c r="B14" s="41" t="s">
        <v>160</v>
      </c>
      <c r="C14" s="46"/>
      <c r="D14" s="47"/>
      <c r="E14" s="63">
        <f>8125.67607434359</f>
        <v>8125.6760743435898</v>
      </c>
      <c r="F14" s="64" t="s">
        <v>3</v>
      </c>
      <c r="G14" s="1"/>
      <c r="H14" s="1"/>
    </row>
    <row r="15" spans="1:8" x14ac:dyDescent="0.25">
      <c r="A15" s="1"/>
      <c r="B15" s="41" t="s">
        <v>161</v>
      </c>
      <c r="C15" s="46"/>
      <c r="D15" s="47"/>
      <c r="E15" s="63">
        <v>195253.22057232767</v>
      </c>
      <c r="F15" s="64"/>
      <c r="G15" s="1"/>
      <c r="H15" s="1"/>
    </row>
    <row r="16" spans="1:8" ht="15" customHeight="1" x14ac:dyDescent="0.25">
      <c r="A16" s="1"/>
      <c r="B16" s="41" t="s">
        <v>151</v>
      </c>
      <c r="C16" s="46"/>
      <c r="D16" s="47"/>
      <c r="E16" s="11">
        <f>76028.1246926935</f>
        <v>76028.124692693498</v>
      </c>
      <c r="F16" s="22" t="s">
        <v>3</v>
      </c>
      <c r="G16" s="1"/>
      <c r="H16" s="1"/>
    </row>
    <row r="17" spans="1:8" x14ac:dyDescent="0.25">
      <c r="A17" s="1"/>
      <c r="B17" s="38" t="s">
        <v>136</v>
      </c>
      <c r="C17" s="39"/>
      <c r="D17" s="40"/>
      <c r="E17" s="20">
        <f>SUM(E10:E16)</f>
        <v>1715102.5813393649</v>
      </c>
      <c r="F17" s="21" t="s">
        <v>3</v>
      </c>
      <c r="G17" s="1"/>
      <c r="H17" s="1"/>
    </row>
    <row r="18" spans="1:8" x14ac:dyDescent="0.25">
      <c r="A18" s="1"/>
      <c r="B18" s="38" t="s">
        <v>137</v>
      </c>
      <c r="C18" s="39"/>
      <c r="D18" s="40"/>
      <c r="E18" s="20">
        <f>E17*(1+Prisudvikling2019)^2</f>
        <v>1773562.8990368913</v>
      </c>
      <c r="F18" s="21" t="s">
        <v>3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sheetProtection algorithmName="SHA-512" hashValue="kCwpu9SeqjoSv0eC5218YAA3Gy052QTaKqzKWoez3SHXKLHmY+fXZzK17ia4CYCdD4/twsOu7nFNeKPYbNFhYg==" saltValue="FKt4KOquWj/vClEOXNSRsw==" spinCount="100000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>
      <selection activeCell="N34" sqref="N34"/>
    </sheetView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124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-543056.35166666668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115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125</v>
      </c>
      <c r="C11" s="96"/>
      <c r="D11" s="97"/>
      <c r="E11" s="11">
        <f>E9/E10</f>
        <v>-135764.08791666667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131</v>
      </c>
      <c r="C12" s="90"/>
      <c r="D12" s="90"/>
      <c r="E12" s="90"/>
      <c r="F12" s="91"/>
      <c r="G12" s="20">
        <f>E11</f>
        <v>-135764.08791666667</v>
      </c>
      <c r="H12" s="21" t="s">
        <v>3</v>
      </c>
      <c r="I12" s="1"/>
    </row>
    <row r="13" spans="1:9" x14ac:dyDescent="0.25">
      <c r="A13" s="1"/>
      <c r="B13" s="89" t="s">
        <v>127</v>
      </c>
      <c r="C13" s="90"/>
      <c r="D13" s="90"/>
      <c r="E13" s="90"/>
      <c r="F13" s="91"/>
      <c r="G13" s="20">
        <f>G12*(1+Prisudvikling2018)*(1+Prisudvikling2019)^4</f>
        <v>-147717.62400659948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122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122</v>
      </c>
      <c r="C18" s="93"/>
      <c r="D18" s="94"/>
      <c r="E18" s="11">
        <v>31484.275235454552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126</v>
      </c>
      <c r="C20" s="96"/>
      <c r="D20" s="97"/>
      <c r="E20" s="11">
        <f>E18/E19</f>
        <v>7871.068808863638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131</v>
      </c>
      <c r="C21" s="90"/>
      <c r="D21" s="90"/>
      <c r="E21" s="90"/>
      <c r="F21" s="91"/>
      <c r="G21" s="20">
        <f>E20</f>
        <v>7871.068808863638</v>
      </c>
      <c r="H21" s="21" t="s">
        <v>3</v>
      </c>
      <c r="I21" s="1"/>
    </row>
    <row r="22" spans="1:9" x14ac:dyDescent="0.25">
      <c r="A22" s="1"/>
      <c r="B22" s="89" t="s">
        <v>127</v>
      </c>
      <c r="C22" s="90"/>
      <c r="D22" s="90"/>
      <c r="E22" s="90"/>
      <c r="F22" s="91"/>
      <c r="G22" s="20">
        <f>G21*(1+Prisudvikling2018)*(1+Prisudvikling2019)^4</f>
        <v>8564.0879018865835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algorithmName="SHA-512" hashValue="wz2QWiYYyyIvNLUKSPa5OYrvlwqmcQGFngAAOALbsWmlt+hP7VuV39ik/1c3KbRIVfagKp9SnafObzKX68BNcA==" saltValue="d0S7kScEvzqB86b0TKMQpw==" spinCount="100000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Laurids Rudbeck Røge</cp:lastModifiedBy>
  <cp:lastPrinted>2016-06-14T12:57:30Z</cp:lastPrinted>
  <dcterms:created xsi:type="dcterms:W3CDTF">2016-06-02T08:51:18Z</dcterms:created>
  <dcterms:modified xsi:type="dcterms:W3CDTF">2019-05-24T13:02:31Z</dcterms:modified>
</cp:coreProperties>
</file>