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Odder Vandværk a.m.b.a. (V144)\ØR2024\"/>
    </mc:Choice>
  </mc:AlternateContent>
  <xr:revisionPtr revIDLastSave="0" documentId="13_ncr:1_{3B095D91-7611-4B76-8E11-CAEFF537078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31" i="41" l="1"/>
  <c r="E33" i="41" s="1"/>
  <c r="E27" i="4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<sst xmlns="http://schemas.openxmlformats.org/spreadsheetml/2006/main" count="549" uniqueCount="262">
  <si>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</si>
  <si>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</si>
  <si>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</si>
  <si>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</si>
  <si>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</si>
  <si>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</si>
  <si>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</si>
  <si>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</si>
  <si>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</si>
  <si>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</si>
  <si>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</si>
  <si>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</si>
  <si>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</si>
  <si>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</si>
  <si>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</si>
  <si>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</si>
  <si>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</si>
  <si>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</si>
  <si>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</si>
  <si>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</si>
  <si>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</si>
  <si>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</si>
  <si>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</si>
  <si>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</si>
  <si>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</si>
  <si>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</si>
  <si>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</si>
  <si>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</si>
  <si>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</si>
  <si>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</si>
  <si>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</si>
  <si>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</si>
  <si>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</si>
  <si>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</si>
  <si>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</si>
  <si>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</si>
  <si>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</si>
  <si>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</si>
  <si>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</si>
  <si>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</si>
  <si>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</si>
  <si>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</si>
  <si>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</si>
  <si>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</si>
  <si>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</si>
  <si>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</si>
  <si>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</si>
  <si>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</si>
  <si>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</si>
  <si>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</si>
  <si>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</si>
  <si>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</si>
  <si>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</si>
  <si>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</si>
  <si>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</si>
  <si>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</si>
  <si>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</si>
  <si>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</si>
  <si>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</si>
  <si>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</si>
  <si>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</si>
  <si>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</si>
  <si>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</si>
  <si>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</si>
  <si>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</si>
  <si>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</si>
  <si>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</si>
  <si>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</si>
  <si>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</si>
  <si>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</si>
  <si>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</si>
  <si>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</si>
  <si>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</si>
  <si>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</si>
  <si>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</si>
  <si>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</si>
  <si>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</si>
  <si>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</si>
  <si>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</si>
  <si>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</si>
  <si>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</si>
  <si>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</si>
  <si>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</si>
  <si>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</si>
  <si>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</si>
  <si>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</si>
  <si>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</si>
  <si>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</si>
  <si>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</si>
  <si>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</si>
  <si>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</si>
  <si>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</si>
  <si>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</si>
  <si>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</si>
  <si>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</si>
  <si>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</si>
  <si>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</si>
  <si>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</si>
  <si>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</si>
  <si>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</si>
  <si>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</si>
  <si>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</si>
  <si>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</si>
  <si>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</si>
  <si>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</si>
  <si>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</si>
  <si>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</si>
  <si>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</si>
  <si>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</si>
  <si>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</si>
  <si>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</si>
  <si>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</si>
  <si>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</si>
  <si>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</si>
  <si>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</si>
  <si>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</si>
  <si>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</si>
  <si>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</si>
  <si>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</si>
  <si>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</si>
  <si>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</si>
  <si>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</si>
  <si>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</si>
  <si>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</si>
  <si>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</si>
  <si>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</si>
  <si>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</si>
  <si>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</si>
  <si>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</si>
  <si>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</si>
  <si>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</si>
  <si>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</si>
  <si>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</si>
  <si>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</si>
  <si>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</si>
  <si>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</si>
  <si>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</si>
  <si>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</si>
  <si>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</si>
  <si>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</si>
  <si>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</si>
  <si>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</si>
  <si>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</si>
  <si>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</si>
  <si>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</si>
  <si>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</si>
  <si>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</si>
  <si>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</si>
  <si>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</si>
  <si>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</si>
  <si>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</si>
  <si>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</si>
  <si>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</si>
  <si>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</si>
  <si>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</si>
  <si>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</si>
  <si>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</si>
  <si>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</si>
  <si>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</si>
  <si>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</si>
  <si>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</si>
  <si>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</si>
  <si>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</si>
  <si>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</si>
  <si>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</si>
  <si>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</si>
  <si>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</si>
  <si>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</si>
  <si>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</si>
  <si>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</si>
  <si>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</si>
  <si>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</si>
  <si>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</si>
  <si>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</si>
  <si>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</si>
  <si>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</si>
  <si>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</si>
  <si>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</si>
  <si>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</si>
  <si>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</si>
  <si>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</si>
  <si>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</si>
  <si>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</si>
  <si>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</si>
  <si>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</si>
  <si>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</si>
  <si>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</si>
  <si>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</si>
  <si>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</si>
  <si>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</si>
  <si>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</si>
  <si>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</si>
  <si>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</si>
  <si>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</si>
  <si>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</si>
  <si>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</si>
  <si>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</si>
  <si>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</si>
  <si>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</si>
  <si>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</si>
  <si>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</si>
  <si>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</si>
  <si>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</si>
  <si>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</si>
  <si>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</si>
  <si>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</si>
  <si>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</si>
  <si>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</si>
  <si>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</si>
  <si>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</si>
  <si>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</si>
  <si>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</si>
  <si>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</si>
  <si>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</si>
  <si>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</si>
  <si>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</si>
  <si>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</si>
  <si>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</si>
  <si>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</si>
  <si>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</si>
  <si>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</si>
  <si>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</si>
  <si>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</si>
  <si>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</si>
  <si>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</si>
  <si>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</si>
  <si>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</si>
  <si>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</si>
  <si>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</si>
  <si>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</si>
  <si>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</si>
  <si>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</si>
  <si>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</si>
  <si>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</si>
  <si>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</si>
  <si>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</si>
  <si>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</si>
  <si>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</si>
  <si>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</si>
  <si>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</si>
  <si>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</si>
  <si>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</si>
  <si>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</si>
  <si>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Udvidelse af forsyningsområdet ledningsnet</t>
  </si>
  <si>
    <t>Udvidelse af forsyningsområdet målere</t>
  </si>
  <si>
    <t>Ingen engangstillæg</t>
  </si>
  <si>
    <t>Afgift for ledningsført vand</t>
  </si>
  <si>
    <t>Afgift til Forsyningssekretariatet</t>
  </si>
  <si>
    <t>Ejendomsskat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</si>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</sst>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 val="Ark3"/>
    </sheetNames>
    <sheetDataSet>
      <sheetData sheetId="0"/>
      <sheetData sheetId="1">
        <row r="1">
          <cell r="A1" t="str">
            <v>ØR 2024-2027 samt statusmeddelelser</v>
          </cell>
        </row>
      </sheetData>
      <sheetData sheetId="2">
        <row r="1">
          <cell r="A1" t="str">
            <v>ØR 2023-2026 samt statusmeddelelser</v>
          </cell>
        </row>
      </sheetData>
      <sheetData sheetId="3">
        <row r="1">
          <cell r="A1" t="str">
            <v>ØR 2022-2025 samt statusmeddelelser</v>
          </cell>
        </row>
      </sheetData>
      <sheetData sheetId="4"/>
      <sheetData sheetId="5"/>
      <sheetData sheetId="6"/>
      <sheetData sheetId="7"/>
      <sheetData sheetId="8"/>
      <sheetData sheetId="9">
        <row r="5">
          <cell r="C5">
            <v>1.0168999999999999</v>
          </cell>
        </row>
      </sheetData>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8" t="s">
        <v>4</v>
      </c>
      <c r="E6" s="88"/>
      <c r="F6" s="88"/>
      <c r="G6" s="88"/>
      <c r="H6" s="3"/>
      <c r="I6" s="1"/>
    </row>
    <row r="7" spans="1:9" ht="15" customHeight="1" x14ac:dyDescent="0.25">
      <c r="A7" s="1"/>
      <c r="B7" s="1"/>
      <c r="C7" s="3"/>
      <c r="D7" s="88"/>
      <c r="E7" s="88"/>
      <c r="F7" s="88"/>
      <c r="G7" s="88"/>
      <c r="H7" s="3"/>
      <c r="I7" s="1"/>
    </row>
    <row r="8" spans="1:9" ht="15.75" x14ac:dyDescent="0.25">
      <c r="A8" s="1"/>
      <c r="B8" s="1"/>
      <c r="C8" s="4"/>
      <c r="D8" s="90" t="s">
        <v>235</v>
      </c>
      <c r="E8" s="90"/>
      <c r="F8" s="90"/>
      <c r="G8" s="9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5" t="s">
        <v>162</v>
      </c>
      <c r="E13" s="86"/>
      <c r="F13" s="86"/>
      <c r="G13" s="87"/>
      <c r="H13" s="1"/>
      <c r="I13" s="1"/>
    </row>
    <row r="14" spans="1:9" x14ac:dyDescent="0.25">
      <c r="A14" s="1"/>
      <c r="B14" s="1"/>
      <c r="C14" s="6" t="s">
        <v>14</v>
      </c>
      <c r="D14" s="85" t="s">
        <v>197</v>
      </c>
      <c r="E14" s="86"/>
      <c r="F14" s="86"/>
      <c r="G14" s="87"/>
      <c r="H14" s="1"/>
      <c r="I14" s="1"/>
    </row>
    <row r="15" spans="1:9" x14ac:dyDescent="0.25">
      <c r="A15" s="1"/>
      <c r="B15" s="1"/>
      <c r="C15" s="6" t="s">
        <v>30</v>
      </c>
      <c r="D15" s="85" t="s">
        <v>141</v>
      </c>
      <c r="E15" s="86"/>
      <c r="F15" s="86"/>
      <c r="G15" s="87"/>
      <c r="H15" s="1"/>
      <c r="I15" s="1"/>
    </row>
    <row r="16" spans="1:9" x14ac:dyDescent="0.25">
      <c r="A16" s="1"/>
      <c r="B16" s="1"/>
      <c r="C16" s="6" t="s">
        <v>31</v>
      </c>
      <c r="D16" s="85" t="s">
        <v>194</v>
      </c>
      <c r="E16" s="86"/>
      <c r="F16" s="86"/>
      <c r="G16" s="87"/>
      <c r="H16" s="1"/>
      <c r="I16" s="1"/>
    </row>
    <row r="17" spans="1:9" x14ac:dyDescent="0.25">
      <c r="A17" s="1"/>
      <c r="B17" s="1"/>
      <c r="C17" s="6" t="s">
        <v>102</v>
      </c>
      <c r="D17" s="85" t="s">
        <v>195</v>
      </c>
      <c r="E17" s="86"/>
      <c r="F17" s="86"/>
      <c r="G17" s="87"/>
      <c r="H17" s="1"/>
      <c r="I17" s="1"/>
    </row>
    <row r="18" spans="1:9" x14ac:dyDescent="0.25">
      <c r="A18" s="1"/>
      <c r="B18" s="1"/>
      <c r="C18" s="6" t="s">
        <v>86</v>
      </c>
      <c r="D18" s="91" t="s">
        <v>79</v>
      </c>
      <c r="E18" s="92"/>
      <c r="F18" s="92"/>
      <c r="G18" s="93"/>
      <c r="H18" s="1"/>
      <c r="I18" s="1"/>
    </row>
    <row r="19" spans="1:9" x14ac:dyDescent="0.25">
      <c r="A19" s="1"/>
      <c r="B19" s="1"/>
      <c r="C19" s="6" t="s">
        <v>87</v>
      </c>
      <c r="D19" s="91" t="s">
        <v>80</v>
      </c>
      <c r="E19" s="92"/>
      <c r="F19" s="92"/>
      <c r="G19" s="93"/>
      <c r="H19" s="1"/>
      <c r="I19" s="1"/>
    </row>
    <row r="20" spans="1:9" x14ac:dyDescent="0.25">
      <c r="A20" s="1"/>
      <c r="B20" s="1"/>
      <c r="C20" s="6" t="s">
        <v>7</v>
      </c>
      <c r="D20" s="91" t="s">
        <v>9</v>
      </c>
      <c r="E20" s="92"/>
      <c r="F20" s="92"/>
      <c r="G20" s="93"/>
      <c r="H20" s="1"/>
      <c r="I20" s="1"/>
    </row>
    <row r="21" spans="1:9" x14ac:dyDescent="0.25">
      <c r="A21" s="1"/>
      <c r="B21" s="1"/>
      <c r="C21" s="6" t="s">
        <v>88</v>
      </c>
      <c r="D21" s="82" t="s">
        <v>11</v>
      </c>
      <c r="E21" s="83"/>
      <c r="F21" s="83"/>
      <c r="G21" s="84"/>
      <c r="H21" s="1"/>
      <c r="I21" s="1"/>
    </row>
    <row r="22" spans="1:9" x14ac:dyDescent="0.25">
      <c r="A22" s="1"/>
      <c r="B22" s="1"/>
      <c r="C22" s="6" t="s">
        <v>73</v>
      </c>
      <c r="D22" s="76" t="s">
        <v>196</v>
      </c>
      <c r="E22" s="77"/>
      <c r="F22" s="77"/>
      <c r="G22" s="78"/>
      <c r="H22" s="1"/>
      <c r="I22" s="1"/>
    </row>
    <row r="23" spans="1:9" x14ac:dyDescent="0.25">
      <c r="A23" s="1"/>
      <c r="B23" s="1"/>
      <c r="C23" s="6" t="s">
        <v>8</v>
      </c>
      <c r="D23" s="76" t="s">
        <v>176</v>
      </c>
      <c r="E23" s="77"/>
      <c r="F23" s="77"/>
      <c r="G23" s="78"/>
      <c r="H23" s="1"/>
      <c r="I23" s="1"/>
    </row>
    <row r="24" spans="1:9" x14ac:dyDescent="0.25">
      <c r="A24" s="1"/>
      <c r="B24" s="1"/>
      <c r="C24" s="6" t="s">
        <v>172</v>
      </c>
      <c r="D24" s="76" t="s">
        <v>163</v>
      </c>
      <c r="E24" s="77"/>
      <c r="F24" s="77"/>
      <c r="G24" s="78"/>
      <c r="H24" s="1"/>
      <c r="I24" s="1"/>
    </row>
    <row r="25" spans="1:9" x14ac:dyDescent="0.25">
      <c r="A25" s="1"/>
      <c r="B25" s="1"/>
      <c r="C25" s="6" t="s">
        <v>173</v>
      </c>
      <c r="D25" s="76" t="s">
        <v>74</v>
      </c>
      <c r="E25" s="77"/>
      <c r="F25" s="77"/>
      <c r="G25" s="78"/>
      <c r="H25" s="1"/>
      <c r="I25" s="1"/>
    </row>
    <row r="26" spans="1:9" x14ac:dyDescent="0.25">
      <c r="A26" s="1"/>
      <c r="B26" s="1"/>
      <c r="C26" s="6" t="s">
        <v>174</v>
      </c>
      <c r="D26" s="76" t="s">
        <v>75</v>
      </c>
      <c r="E26" s="77"/>
      <c r="F26" s="77"/>
      <c r="G26" s="78"/>
      <c r="H26" s="1"/>
      <c r="I26" s="1"/>
    </row>
    <row r="27" spans="1:9" x14ac:dyDescent="0.25">
      <c r="A27" s="1"/>
      <c r="B27" s="1"/>
      <c r="C27" s="6" t="s">
        <v>89</v>
      </c>
      <c r="D27" s="76" t="s">
        <v>103</v>
      </c>
      <c r="E27" s="77"/>
      <c r="F27" s="77"/>
      <c r="G27" s="78"/>
      <c r="H27" s="1"/>
      <c r="I27" s="1"/>
    </row>
    <row r="28" spans="1:9" x14ac:dyDescent="0.25">
      <c r="A28" s="1"/>
      <c r="B28" s="1"/>
      <c r="C28" s="6" t="s">
        <v>83</v>
      </c>
      <c r="D28" s="76" t="s">
        <v>32</v>
      </c>
      <c r="E28" s="77"/>
      <c r="F28" s="77"/>
      <c r="G28" s="78"/>
      <c r="H28" s="1"/>
      <c r="I28" s="1"/>
    </row>
    <row r="29" spans="1:9" x14ac:dyDescent="0.25">
      <c r="A29" s="1"/>
      <c r="B29" s="1"/>
      <c r="C29" s="6" t="s">
        <v>175</v>
      </c>
      <c r="D29" s="79" t="s">
        <v>84</v>
      </c>
      <c r="E29" s="80"/>
      <c r="F29" s="80"/>
      <c r="G29" s="8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e1NchEwG6jTf4IPP01PCopW5tsvYLhzuD4t8i7gfaUXGc3KFFZbwFyUmEIyvch6QUzhfFHKaTXFCMHB1doWcHw==" saltValue="Xv0WXWkSJTI19oGfZ1WMH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8" t="s">
        <v>226</v>
      </c>
      <c r="C8" s="99"/>
      <c r="D8" s="100"/>
      <c r="E8" s="1"/>
      <c r="F8" s="1"/>
    </row>
    <row r="9" spans="1:6" ht="15" customHeight="1" x14ac:dyDescent="0.25">
      <c r="A9" s="1"/>
      <c r="B9" s="32" t="s">
        <v>28</v>
      </c>
      <c r="C9" s="11" t="s">
        <v>212</v>
      </c>
      <c r="D9" s="11"/>
      <c r="E9" s="1"/>
      <c r="F9" s="1"/>
    </row>
    <row r="10" spans="1:6" ht="15" customHeight="1" x14ac:dyDescent="0.25">
      <c r="A10" s="1"/>
      <c r="B10" s="65" t="s">
        <v>246</v>
      </c>
      <c r="C10" s="9">
        <v>5169564.3099999996</v>
      </c>
      <c r="D10" s="14" t="s">
        <v>3</v>
      </c>
      <c r="E10" s="1"/>
      <c r="F10" s="1"/>
    </row>
    <row r="11" spans="1:6" x14ac:dyDescent="0.25">
      <c r="A11" s="1"/>
      <c r="B11" s="65" t="s">
        <v>247</v>
      </c>
      <c r="C11" s="9">
        <v>69360</v>
      </c>
      <c r="D11" s="14" t="s">
        <v>3</v>
      </c>
      <c r="E11" s="1"/>
      <c r="F11" s="1"/>
    </row>
    <row r="12" spans="1:6" x14ac:dyDescent="0.25">
      <c r="A12" s="1"/>
      <c r="B12" s="65" t="s">
        <v>248</v>
      </c>
      <c r="C12" s="9">
        <v>4392.83</v>
      </c>
      <c r="D12" s="14" t="s">
        <v>3</v>
      </c>
      <c r="E12" s="1"/>
      <c r="F12" s="1"/>
    </row>
    <row r="13" spans="1:6" x14ac:dyDescent="0.25">
      <c r="A13" s="1"/>
      <c r="B13" s="65"/>
      <c r="C13" s="9"/>
      <c r="D13" s="14" t="s">
        <v>3</v>
      </c>
      <c r="E13" s="1"/>
      <c r="F13" s="1"/>
    </row>
    <row r="14" spans="1:6" x14ac:dyDescent="0.25">
      <c r="A14" s="1"/>
      <c r="B14" s="65"/>
      <c r="C14" s="9"/>
      <c r="D14" s="14" t="s">
        <v>3</v>
      </c>
      <c r="E14" s="1"/>
      <c r="F14" s="1"/>
    </row>
    <row r="15" spans="1:6" x14ac:dyDescent="0.25">
      <c r="A15" s="1"/>
      <c r="B15" s="65"/>
      <c r="C15" s="9"/>
      <c r="D15" s="14" t="s">
        <v>3</v>
      </c>
      <c r="E15" s="1"/>
      <c r="F15" s="1"/>
    </row>
    <row r="16" spans="1:6" x14ac:dyDescent="0.25">
      <c r="A16" s="1"/>
      <c r="B16" s="65"/>
      <c r="C16" s="9"/>
      <c r="D16" s="14" t="s">
        <v>3</v>
      </c>
      <c r="E16" s="1"/>
      <c r="F16" s="1"/>
    </row>
    <row r="17" spans="1:6" x14ac:dyDescent="0.25">
      <c r="A17" s="1"/>
      <c r="B17" s="65"/>
      <c r="C17" s="9"/>
      <c r="D17" s="14" t="s">
        <v>3</v>
      </c>
      <c r="E17" s="1"/>
      <c r="F17" s="1"/>
    </row>
    <row r="18" spans="1:6" x14ac:dyDescent="0.25">
      <c r="A18" s="1"/>
      <c r="B18" s="65"/>
      <c r="C18" s="9"/>
      <c r="D18" s="14" t="s">
        <v>3</v>
      </c>
      <c r="E18" s="1"/>
      <c r="F18" s="1"/>
    </row>
    <row r="19" spans="1:6" x14ac:dyDescent="0.25">
      <c r="A19" s="1"/>
      <c r="B19" s="52" t="s">
        <v>213</v>
      </c>
      <c r="C19" s="12">
        <f>SUM(C10:C18)</f>
        <v>5243317.1399999997</v>
      </c>
      <c r="D19" s="13" t="s">
        <v>3</v>
      </c>
      <c r="E19" s="1"/>
      <c r="F19" s="1"/>
    </row>
    <row r="20" spans="1:6" x14ac:dyDescent="0.25">
      <c r="A20" s="1"/>
      <c r="B20" s="52" t="s">
        <v>214</v>
      </c>
      <c r="C20" s="12">
        <f>C19*(1+'Fane 13. Nøgletal'!C16)^2</f>
        <v>6124868.919836889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iRuRiQJ0UA2C5rY0J/EQaZkwbhYDWz2J5McuKNCAEEPnFfL36HjHQSplheWQKJIGkv3419wpDAWw43oXD93UcA==" saltValue="PksQEl6rJBNWxC+fpIAYH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6"/>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98" t="s">
        <v>249</v>
      </c>
      <c r="C8" s="99"/>
      <c r="D8" s="99"/>
      <c r="E8" s="99"/>
      <c r="F8" s="100"/>
      <c r="G8" s="1"/>
    </row>
    <row r="9" spans="1:7" x14ac:dyDescent="0.25">
      <c r="A9" s="1"/>
      <c r="B9" s="101" t="s">
        <v>250</v>
      </c>
      <c r="C9" s="102"/>
      <c r="D9" s="103"/>
      <c r="E9" s="28">
        <v>973550.74200466648</v>
      </c>
      <c r="F9" s="14" t="s">
        <v>3</v>
      </c>
      <c r="G9" s="1"/>
    </row>
    <row r="10" spans="1:7" x14ac:dyDescent="0.25">
      <c r="A10" s="1"/>
      <c r="B10" s="52"/>
      <c r="C10" s="53"/>
      <c r="D10" s="53"/>
      <c r="E10" s="53"/>
      <c r="F10" s="19"/>
      <c r="G10" s="1"/>
    </row>
    <row r="11" spans="1:7" ht="53.25" customHeight="1" x14ac:dyDescent="0.25">
      <c r="A11" s="1"/>
      <c r="B11" s="116" t="s">
        <v>251</v>
      </c>
      <c r="C11" s="117"/>
      <c r="D11" s="117"/>
      <c r="E11" s="117"/>
      <c r="F11" s="118"/>
      <c r="G11" s="1"/>
    </row>
    <row r="12" spans="1:7" x14ac:dyDescent="0.25">
      <c r="A12" s="1"/>
      <c r="B12" s="1"/>
      <c r="C12" s="1"/>
      <c r="D12" s="1"/>
      <c r="E12" s="1"/>
      <c r="F12" s="1"/>
      <c r="G12" s="1"/>
    </row>
    <row r="13" spans="1:7" x14ac:dyDescent="0.25">
      <c r="A13" s="1"/>
      <c r="B13" s="98" t="s">
        <v>140</v>
      </c>
      <c r="C13" s="99"/>
      <c r="D13" s="99"/>
      <c r="E13" s="99"/>
      <c r="F13" s="100"/>
      <c r="G13" s="1"/>
    </row>
    <row r="14" spans="1:7" x14ac:dyDescent="0.25">
      <c r="A14" s="1"/>
      <c r="B14" s="101" t="s">
        <v>252</v>
      </c>
      <c r="C14" s="102"/>
      <c r="D14" s="103"/>
      <c r="E14" s="9">
        <v>-172526.68199833483</v>
      </c>
      <c r="F14" s="14" t="s">
        <v>3</v>
      </c>
      <c r="G14" s="1"/>
    </row>
    <row r="15" spans="1:7" x14ac:dyDescent="0.25">
      <c r="A15" s="1"/>
      <c r="B15" s="101" t="s">
        <v>253</v>
      </c>
      <c r="C15" s="102"/>
      <c r="D15" s="103"/>
      <c r="E15" s="9">
        <v>-172526.68199833483</v>
      </c>
      <c r="F15" s="14" t="s">
        <v>3</v>
      </c>
      <c r="G15" s="1"/>
    </row>
    <row r="16" spans="1:7" x14ac:dyDescent="0.25">
      <c r="A16" s="1"/>
      <c r="B16" s="52"/>
      <c r="C16" s="53"/>
      <c r="D16" s="53"/>
      <c r="E16" s="53"/>
      <c r="F16" s="19"/>
      <c r="G16" s="1"/>
    </row>
    <row r="17" spans="1:7" ht="27" customHeight="1" x14ac:dyDescent="0.25">
      <c r="A17" s="1"/>
      <c r="B17" s="116" t="s">
        <v>254</v>
      </c>
      <c r="C17" s="117"/>
      <c r="D17" s="117"/>
      <c r="E17" s="117"/>
      <c r="F17" s="118"/>
      <c r="G17" s="1"/>
    </row>
    <row r="18" spans="1:7" x14ac:dyDescent="0.25">
      <c r="A18" s="1"/>
      <c r="B18" s="1"/>
      <c r="C18" s="1"/>
      <c r="D18" s="1"/>
      <c r="E18" s="1"/>
      <c r="F18" s="1"/>
      <c r="G18" s="1"/>
    </row>
    <row r="19" spans="1:7" x14ac:dyDescent="0.25">
      <c r="A19" s="1"/>
      <c r="B19" s="66" t="s">
        <v>255</v>
      </c>
      <c r="C19" s="67"/>
      <c r="D19" s="67"/>
      <c r="E19" s="67"/>
      <c r="F19" s="68"/>
      <c r="G19" s="1"/>
    </row>
    <row r="20" spans="1:7" x14ac:dyDescent="0.25">
      <c r="A20" s="1"/>
      <c r="B20" s="62" t="s">
        <v>256</v>
      </c>
      <c r="C20" s="63"/>
      <c r="D20" s="64"/>
      <c r="E20" s="9">
        <v>17921689.847902883</v>
      </c>
      <c r="F20" s="14" t="s">
        <v>3</v>
      </c>
      <c r="G20" s="1"/>
    </row>
    <row r="21" spans="1:7" x14ac:dyDescent="0.25">
      <c r="A21" s="1"/>
      <c r="B21" s="62" t="s">
        <v>257</v>
      </c>
      <c r="C21" s="63"/>
      <c r="D21" s="64"/>
      <c r="E21" s="9">
        <v>17749070</v>
      </c>
      <c r="F21" s="14" t="s">
        <v>3</v>
      </c>
      <c r="G21" s="1"/>
    </row>
    <row r="22" spans="1:7" x14ac:dyDescent="0.25">
      <c r="A22" s="1"/>
      <c r="B22" s="62" t="s">
        <v>29</v>
      </c>
      <c r="C22" s="63"/>
      <c r="D22" s="64"/>
      <c r="E22" s="9">
        <v>0</v>
      </c>
      <c r="F22" s="14" t="s">
        <v>3</v>
      </c>
      <c r="G22" s="1"/>
    </row>
    <row r="23" spans="1:7" x14ac:dyDescent="0.25">
      <c r="A23" s="1"/>
      <c r="B23" s="70" t="s">
        <v>258</v>
      </c>
      <c r="C23" s="71"/>
      <c r="D23" s="72"/>
      <c r="E23" s="10">
        <f>E20-(E21-E22)</f>
        <v>172619.84790288284</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98" t="s">
        <v>259</v>
      </c>
      <c r="C26" s="99"/>
      <c r="D26" s="99"/>
      <c r="E26" s="99"/>
      <c r="F26" s="100"/>
      <c r="G26" s="1"/>
    </row>
    <row r="27" spans="1:7" x14ac:dyDescent="0.25">
      <c r="A27" s="1"/>
      <c r="B27" s="123" t="s">
        <v>260</v>
      </c>
      <c r="C27" s="124"/>
      <c r="D27" s="125"/>
      <c r="E27" s="59">
        <f>IF(AND(E15&lt;0,E23&gt;0,ABS(SUM(E14:E15))&lt;E23),ABS(E14),IF(AND(E15&lt;0,E23&gt;0,ABS(SUM(E14:E15))&gt;E23),SUM(E14,E23),0))</f>
        <v>93.165904548019171</v>
      </c>
      <c r="F27" s="17" t="s">
        <v>3</v>
      </c>
      <c r="G27" s="1"/>
    </row>
    <row r="28" spans="1:7" x14ac:dyDescent="0.25">
      <c r="A28" s="1"/>
      <c r="B28" s="98"/>
      <c r="C28" s="99"/>
      <c r="D28" s="99"/>
      <c r="E28" s="99"/>
      <c r="F28" s="100"/>
      <c r="G28" s="1"/>
    </row>
    <row r="29" spans="1:7" x14ac:dyDescent="0.25">
      <c r="A29" s="1"/>
      <c r="B29" s="1"/>
      <c r="C29" s="1"/>
      <c r="D29" s="1"/>
      <c r="E29" s="1"/>
      <c r="F29" s="1"/>
      <c r="G29" s="1"/>
    </row>
    <row r="30" spans="1:7" x14ac:dyDescent="0.25">
      <c r="A30" s="1"/>
      <c r="B30" s="98" t="s">
        <v>261</v>
      </c>
      <c r="C30" s="99"/>
      <c r="D30" s="99"/>
      <c r="E30" s="99"/>
      <c r="F30" s="100"/>
      <c r="G30" s="1"/>
    </row>
    <row r="31" spans="1:7" x14ac:dyDescent="0.25">
      <c r="A31" s="1"/>
      <c r="B31" s="126" t="s">
        <v>117</v>
      </c>
      <c r="C31" s="127"/>
      <c r="D31" s="128"/>
      <c r="E31" s="60">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9" t="s">
        <v>116</v>
      </c>
      <c r="C33" s="119"/>
      <c r="D33" s="119"/>
      <c r="E33" s="59">
        <f>E31/E32</f>
        <v>0</v>
      </c>
      <c r="F33" s="17" t="s">
        <v>3</v>
      </c>
      <c r="G33" s="1"/>
    </row>
    <row r="34" spans="1:7" x14ac:dyDescent="0.25">
      <c r="A34" s="1"/>
      <c r="B34" s="120"/>
      <c r="C34" s="121"/>
      <c r="D34" s="121"/>
      <c r="E34" s="121"/>
      <c r="F34" s="12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joypSAly/PaBqLOGCUbb2Ai9zOh8kwb4egeND+pVWnkI+ALSCZz5dBBgXXYgTjLhWxkPRLKreCO1xaMp8mtrxw==" saltValue="3h3vXw3PH6//33PVb/57CQ=="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8" t="s">
        <v>184</v>
      </c>
      <c r="C8" s="99"/>
      <c r="D8" s="99"/>
      <c r="E8" s="99"/>
      <c r="F8" s="99"/>
      <c r="G8" s="99"/>
      <c r="H8" s="100"/>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98" t="s">
        <v>193</v>
      </c>
      <c r="C18" s="99"/>
      <c r="D18" s="99"/>
      <c r="E18" s="99"/>
      <c r="F18" s="10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Cxd359PdEOr2z1hudWn/UC5gg/+Jhcc1M2nFvUHsFcwyVfKgwty27k/KXrtHH75sNb93Psqr9Cuy9apTM8Yb/A==" saltValue="En1f9QjSyGikHhc+xLCCO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155</v>
      </c>
      <c r="C8" s="99"/>
      <c r="D8" s="99"/>
      <c r="E8" s="99"/>
      <c r="F8" s="99"/>
      <c r="G8" s="99"/>
      <c r="H8" s="99"/>
      <c r="I8" s="99"/>
      <c r="J8" s="99"/>
      <c r="K8" s="100"/>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8"/>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09SV90jLHgpyEJ79AAgOcDEgNXV0pcBOriXouOZ4NEWbN6OYURNM9YlVnFw0EvpElVRYuDa9K7S6Q5aSS8kfbg==" saltValue="yLiaqKIIXAwD9TQ+40iLb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374968</v>
      </c>
      <c r="D11" s="14" t="s">
        <v>3</v>
      </c>
      <c r="E11" s="9">
        <v>29608</v>
      </c>
      <c r="F11" s="14" t="s">
        <v>3</v>
      </c>
      <c r="G11" s="1"/>
    </row>
    <row r="12" spans="1:7" x14ac:dyDescent="0.25">
      <c r="A12" s="1"/>
      <c r="B12" s="27" t="s">
        <v>244</v>
      </c>
      <c r="C12" s="21">
        <v>0</v>
      </c>
      <c r="D12" s="14" t="s">
        <v>3</v>
      </c>
      <c r="E12" s="9">
        <v>43865.27</v>
      </c>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374968</v>
      </c>
      <c r="D17" s="13" t="s">
        <v>3</v>
      </c>
      <c r="E17" s="12">
        <f>SUM(E10:E16)</f>
        <v>73473.26999999999</v>
      </c>
      <c r="F17" s="13" t="s">
        <v>3</v>
      </c>
      <c r="G17" s="1"/>
    </row>
    <row r="18" spans="1:7" x14ac:dyDescent="0.25">
      <c r="A18" s="1"/>
      <c r="B18" s="52" t="s">
        <v>209</v>
      </c>
      <c r="C18" s="12">
        <f>C17*(1+'Fane 13. Nøgletal'!C16)</f>
        <v>405265.41440000001</v>
      </c>
      <c r="D18" s="13" t="s">
        <v>3</v>
      </c>
      <c r="E18" s="12">
        <f>E17*(1+'Fane 13. Nøgletal'!C16)</f>
        <v>79409.910215999989</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KHD3cgm5o1zcoETgQOsTz6bIJg+74XkCFba/YKmtOHceYzZ3R5KSGIhX5BnOIvraSFiSOodxyjxiWNj1UCPCHw==" saltValue="wys1KNPwoDJ0Yq76Glikk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98" t="s">
        <v>217</v>
      </c>
      <c r="C9" s="99"/>
      <c r="D9" s="99"/>
      <c r="E9" s="99"/>
      <c r="F9" s="100"/>
      <c r="G9" s="1"/>
    </row>
    <row r="10" spans="1:7" ht="26.25" x14ac:dyDescent="0.25">
      <c r="A10" s="1"/>
      <c r="B10" s="73" t="s">
        <v>15</v>
      </c>
      <c r="C10" s="73" t="s">
        <v>10</v>
      </c>
      <c r="D10" s="74"/>
      <c r="E10" s="73" t="s">
        <v>27</v>
      </c>
      <c r="F10" s="30"/>
      <c r="G10" s="1"/>
    </row>
    <row r="11" spans="1:7" x14ac:dyDescent="0.25">
      <c r="A11" s="1"/>
      <c r="B11" s="23" t="s">
        <v>245</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1gp8QEo/Ke7YsLgLHxaHSrHpnxmOxmTElOtGxMkGOIFxRgK8Sb0CQaytfoxQje5zvSdAlP358zSURP31me1jg==" saltValue="SXdYlaoOwsCJXifDDFN2a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104</v>
      </c>
      <c r="C8" s="99"/>
      <c r="D8" s="99"/>
      <c r="E8" s="99"/>
      <c r="F8" s="100"/>
      <c r="G8" s="1"/>
    </row>
    <row r="9" spans="1:7" ht="15" customHeight="1" x14ac:dyDescent="0.25">
      <c r="A9" s="1"/>
      <c r="B9" s="54" t="s">
        <v>105</v>
      </c>
      <c r="C9" s="129" t="s">
        <v>10</v>
      </c>
      <c r="D9" s="131"/>
      <c r="E9" s="129" t="s">
        <v>27</v>
      </c>
      <c r="F9" s="131"/>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gmVylDsPXRuSQ2Nh928x9zVd1/+HVhLe2vghjXeJJ4q6EUR6W5xWGvbxvzUBCuaSa2Zbiax3tw6sGa6VUUTDw==" saltValue="3xliVkph3vGpXhsdBezog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98" t="s">
        <v>237</v>
      </c>
      <c r="C10" s="99"/>
      <c r="D10" s="99"/>
      <c r="E10" s="99"/>
      <c r="F10" s="100"/>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vrtjXcOU25xEgDFPbSUOUefnwvm5VnXulGRxbKSx5lDYMgmwDs8OVNvwpcQObq1f6MEUD6Ae1UkDJhWmJ5/0g==" saltValue="2v8EQv1nsXZiwj4Gy2t/M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5" t="s">
        <v>93</v>
      </c>
      <c r="C9" s="40">
        <v>1.2699999999999999E-2</v>
      </c>
      <c r="D9" s="1"/>
    </row>
    <row r="10" spans="1:4" x14ac:dyDescent="0.25">
      <c r="A10" s="1"/>
      <c r="B10" s="65" t="s">
        <v>21</v>
      </c>
      <c r="C10" s="40">
        <v>1.7500000000000002E-2</v>
      </c>
      <c r="D10" s="1"/>
    </row>
    <row r="11" spans="1:4" x14ac:dyDescent="0.25">
      <c r="A11" s="1"/>
      <c r="B11" s="65"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98"/>
      <c r="C17" s="100"/>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5" t="s">
        <v>95</v>
      </c>
      <c r="C21" s="42">
        <v>9.1000000000000004E-3</v>
      </c>
      <c r="D21" s="1"/>
    </row>
    <row r="22" spans="1:4" x14ac:dyDescent="0.25">
      <c r="A22" s="1"/>
      <c r="B22" s="65" t="s">
        <v>96</v>
      </c>
      <c r="C22" s="42">
        <v>1.77E-2</v>
      </c>
      <c r="D22" s="1"/>
    </row>
    <row r="23" spans="1:4" x14ac:dyDescent="0.25">
      <c r="A23" s="1"/>
      <c r="B23" s="65" t="s">
        <v>97</v>
      </c>
      <c r="C23" s="42">
        <v>8.6999999999999994E-3</v>
      </c>
      <c r="D23" s="1"/>
    </row>
    <row r="24" spans="1:4" x14ac:dyDescent="0.25">
      <c r="A24" s="1"/>
      <c r="B24" s="65" t="s">
        <v>98</v>
      </c>
      <c r="C24" s="42">
        <v>2.8400000000000002E-2</v>
      </c>
      <c r="D24" s="1"/>
    </row>
    <row r="25" spans="1:4" x14ac:dyDescent="0.25">
      <c r="A25" s="1"/>
      <c r="B25" s="65" t="s">
        <v>111</v>
      </c>
      <c r="C25" s="42">
        <v>2.75E-2</v>
      </c>
      <c r="D25" s="1"/>
    </row>
    <row r="26" spans="1:4" x14ac:dyDescent="0.25">
      <c r="A26" s="1"/>
      <c r="B26" s="65"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5"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zuJn8fFXMPwowD0HHkYZtFl9E18ottGiapiuBTSGVPfAudi0JsIn+65fwWgl2Syca3Yf0krA/HVL3GHFkT0RFA==" saltValue="M5pL97QMuNZaDIxbFLXygA=="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12965373.180004375</v>
      </c>
      <c r="D8" s="8" t="s">
        <v>3</v>
      </c>
      <c r="E8" s="1"/>
    </row>
    <row r="9" spans="1:5" ht="17.100000000000001" customHeight="1" x14ac:dyDescent="0.25">
      <c r="A9" s="1"/>
      <c r="B9" s="24" t="s">
        <v>33</v>
      </c>
      <c r="C9" s="7">
        <f>'Fane 10.1. Varige tillæg'!C18</f>
        <v>405265.41440000001</v>
      </c>
      <c r="D9" s="8" t="s">
        <v>3</v>
      </c>
      <c r="E9" s="1"/>
    </row>
    <row r="10" spans="1:5" ht="17.100000000000001" customHeight="1" x14ac:dyDescent="0.25">
      <c r="A10" s="1"/>
      <c r="B10" s="24" t="s">
        <v>34</v>
      </c>
      <c r="C10" s="9">
        <f>'Fane 10.1. Varige tillæg'!E18</f>
        <v>79409.910215999989</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500729.05143712857</v>
      </c>
      <c r="D15" s="8" t="s">
        <v>3</v>
      </c>
      <c r="E15" s="1"/>
    </row>
    <row r="16" spans="1:5" ht="17.100000000000001" customHeight="1" x14ac:dyDescent="0.25">
      <c r="A16" s="1"/>
      <c r="B16" s="24" t="s">
        <v>9</v>
      </c>
      <c r="C16" s="9">
        <f>-SUM(C8,C9:C15)*'Fane 5. Individuelt eff. krav'!G9</f>
        <v>-279015.55112115009</v>
      </c>
      <c r="D16" s="8" t="s">
        <v>3</v>
      </c>
      <c r="E16" s="1"/>
    </row>
    <row r="17" spans="1:5" ht="17.100000000000001" customHeight="1" x14ac:dyDescent="0.25">
      <c r="A17" s="1"/>
      <c r="B17" s="24" t="s">
        <v>22</v>
      </c>
      <c r="C17" s="9">
        <f>-'Fane 4.1. Gen. krav - drift'!G49</f>
        <v>-145329.48597761922</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13526432.518958734</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6124868.919836889</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10">
        <f>SUM(C23:C26)</f>
        <v>0</v>
      </c>
      <c r="D27" s="11" t="s">
        <v>3</v>
      </c>
      <c r="E27" s="1"/>
    </row>
    <row r="28" spans="1:5" ht="15" customHeight="1" x14ac:dyDescent="0.25">
      <c r="A28" s="1"/>
      <c r="B28" s="26" t="s">
        <v>117</v>
      </c>
      <c r="C28" s="53"/>
      <c r="D28" s="19"/>
      <c r="E28" s="1"/>
    </row>
    <row r="29" spans="1:5" x14ac:dyDescent="0.25">
      <c r="A29" s="1"/>
      <c r="B29" s="69" t="s">
        <v>118</v>
      </c>
      <c r="C29" s="10">
        <f>'Fane 7. Kontrol af ØR2022'!E27</f>
        <v>93.165904548019171</v>
      </c>
      <c r="D29" s="11" t="s">
        <v>3</v>
      </c>
      <c r="E29" s="1"/>
    </row>
    <row r="30" spans="1:5" x14ac:dyDescent="0.25">
      <c r="A30" s="1"/>
      <c r="B30" s="26" t="s">
        <v>138</v>
      </c>
      <c r="C30" s="53"/>
      <c r="D30" s="19"/>
      <c r="E30" s="1"/>
    </row>
    <row r="31" spans="1:5" x14ac:dyDescent="0.25">
      <c r="A31" s="1"/>
      <c r="B31" s="69" t="s">
        <v>139</v>
      </c>
      <c r="C31" s="10">
        <f>'Fane 8. Skattesagen'!G13</f>
        <v>0</v>
      </c>
      <c r="D31" s="11" t="s">
        <v>3</v>
      </c>
      <c r="E31" s="1"/>
    </row>
    <row r="32" spans="1:5" x14ac:dyDescent="0.25">
      <c r="A32" s="1"/>
      <c r="B32" s="52" t="s">
        <v>126</v>
      </c>
      <c r="C32" s="33">
        <f>SUM(C19,C21,C27,C29,C31)</f>
        <v>19651394.60470017</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2zp/LxLtXhLTW8xUueuVLdgV/a0qLKX903nPetBkz5B8sDp/Hj4Nff+M9HphCDYt5aTrgjH5gyugo7p8/58MWg==" saltValue="LGxRj8nStqqKCpwFC7btr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13526432.518958734</v>
      </c>
      <c r="D8" s="8" t="s">
        <v>3</v>
      </c>
      <c r="E8" s="1"/>
    </row>
    <row r="9" spans="1:5" ht="15" customHeight="1" x14ac:dyDescent="0.25">
      <c r="A9" s="1"/>
      <c r="B9" s="29" t="s">
        <v>17</v>
      </c>
      <c r="C9" s="9">
        <f>SUM(C8:C8)*'Fane 13. Nøgletal'!C16</f>
        <v>1092935.7475318657</v>
      </c>
      <c r="D9" s="8" t="s">
        <v>3</v>
      </c>
      <c r="E9" s="1"/>
    </row>
    <row r="10" spans="1:5" ht="15" customHeight="1" x14ac:dyDescent="0.25">
      <c r="A10" s="1"/>
      <c r="B10" s="29" t="s">
        <v>9</v>
      </c>
      <c r="C10" s="9">
        <f>-SUM(C8:C9)*'Fane 5. Individuelt eff. krav'!G9</f>
        <v>-292387.36532981205</v>
      </c>
      <c r="D10" s="8" t="s">
        <v>3</v>
      </c>
      <c r="E10" s="1"/>
    </row>
    <row r="11" spans="1:5" ht="15" customHeight="1" x14ac:dyDescent="0.25">
      <c r="A11" s="1"/>
      <c r="B11" s="29" t="s">
        <v>22</v>
      </c>
      <c r="C11" s="9">
        <f>-'Fane 4.1. Gen. krav - drift'!G54</f>
        <v>-153930.66627571866</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14173050.23488507</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6619758.3285597097</v>
      </c>
      <c r="D15" s="11" t="s">
        <v>3</v>
      </c>
      <c r="E15" s="1"/>
    </row>
    <row r="16" spans="1:5" x14ac:dyDescent="0.25">
      <c r="A16" s="1"/>
      <c r="B16" s="26" t="s">
        <v>117</v>
      </c>
      <c r="C16" s="53"/>
      <c r="D16" s="19"/>
      <c r="E16" s="1"/>
    </row>
    <row r="17" spans="1:5" ht="15" customHeight="1" x14ac:dyDescent="0.25">
      <c r="A17" s="1"/>
      <c r="B17" s="69" t="s">
        <v>118</v>
      </c>
      <c r="C17" s="10">
        <f>'Fane 7. Kontrol af ØR2022'!E33</f>
        <v>0</v>
      </c>
      <c r="D17" s="11" t="s">
        <v>3</v>
      </c>
      <c r="E17" s="1"/>
    </row>
    <row r="18" spans="1:5" x14ac:dyDescent="0.25">
      <c r="A18" s="1"/>
      <c r="B18" s="26" t="s">
        <v>138</v>
      </c>
      <c r="C18" s="53"/>
      <c r="D18" s="19"/>
      <c r="E18" s="1"/>
    </row>
    <row r="19" spans="1:5" x14ac:dyDescent="0.25">
      <c r="A19" s="1"/>
      <c r="B19" s="69" t="s">
        <v>139</v>
      </c>
      <c r="C19" s="10">
        <f>'Fane 8. Skattesagen'!G13</f>
        <v>0</v>
      </c>
      <c r="D19" s="11" t="s">
        <v>3</v>
      </c>
      <c r="E19" s="1"/>
    </row>
    <row r="20" spans="1:5" x14ac:dyDescent="0.25">
      <c r="A20" s="1"/>
      <c r="B20" s="52" t="s">
        <v>128</v>
      </c>
      <c r="C20" s="12">
        <f>SUM(C13,C15,C17,C19)</f>
        <v>20792808.563444778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y0lHiHd/XwTw+wrwWz7/s6IN4uoYa6amU5go6xG53cwDJluOKitSlfWn+9ozBxz034Pdrxc1JVlrUj3ppEpNQ==" saltValue="OuFzNk7LRZitOuY1Pksep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14173050.23488507</v>
      </c>
      <c r="D8" s="8" t="s">
        <v>3</v>
      </c>
      <c r="E8" s="1"/>
    </row>
    <row r="9" spans="1:5" ht="15" customHeight="1" x14ac:dyDescent="0.25">
      <c r="A9" s="1"/>
      <c r="B9" s="29" t="s">
        <v>17</v>
      </c>
      <c r="C9" s="9">
        <f>SUM(C8:C8)*'Fane 13. Nøgletal'!C16</f>
        <v>1145182.4589787137</v>
      </c>
      <c r="D9" s="8" t="s">
        <v>3</v>
      </c>
      <c r="E9" s="1"/>
    </row>
    <row r="10" spans="1:5" ht="15" customHeight="1" x14ac:dyDescent="0.25">
      <c r="A10" s="1"/>
      <c r="B10" s="29" t="s">
        <v>9</v>
      </c>
      <c r="C10" s="9">
        <f>-SUM(C8:C9)*'Fane 5. Individuelt eff. krav'!G9</f>
        <v>-306364.6538772757</v>
      </c>
      <c r="D10" s="8" t="s">
        <v>3</v>
      </c>
      <c r="E10" s="1"/>
    </row>
    <row r="11" spans="1:5" ht="15" customHeight="1" x14ac:dyDescent="0.25">
      <c r="A11" s="1"/>
      <c r="B11" s="29" t="s">
        <v>22</v>
      </c>
      <c r="C11" s="9">
        <f>-'Fane 4.1. Gen. krav - drift'!G59</f>
        <v>-163040.89882858077</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14848827.141157929</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7154634.8015073342</v>
      </c>
      <c r="D15" s="11" t="s">
        <v>3</v>
      </c>
      <c r="E15" s="1"/>
    </row>
    <row r="16" spans="1:5" x14ac:dyDescent="0.25">
      <c r="A16" s="1"/>
      <c r="B16" s="52" t="s">
        <v>117</v>
      </c>
      <c r="C16" s="53"/>
      <c r="D16" s="19"/>
      <c r="E16" s="1"/>
    </row>
    <row r="17" spans="1:5" x14ac:dyDescent="0.25">
      <c r="A17" s="1"/>
      <c r="B17" s="54" t="s">
        <v>118</v>
      </c>
      <c r="C17" s="10">
        <f>'Fane 7. Kontrol af ØR2022'!E33</f>
        <v>0</v>
      </c>
      <c r="D17" s="11" t="s">
        <v>3</v>
      </c>
      <c r="E17" s="1"/>
    </row>
    <row r="18" spans="1:5" ht="15" customHeight="1" x14ac:dyDescent="0.25">
      <c r="A18" s="1"/>
      <c r="B18" s="26" t="s">
        <v>138</v>
      </c>
      <c r="C18" s="53"/>
      <c r="D18" s="19"/>
      <c r="E18" s="1"/>
    </row>
    <row r="19" spans="1:5" ht="15" customHeight="1" x14ac:dyDescent="0.25">
      <c r="A19" s="1"/>
      <c r="B19" s="69" t="s">
        <v>139</v>
      </c>
      <c r="C19" s="10">
        <f>'Fane 8. Skattesagen'!G14</f>
        <v>0</v>
      </c>
      <c r="D19" s="11" t="s">
        <v>3</v>
      </c>
      <c r="E19" s="1"/>
    </row>
    <row r="20" spans="1:5" x14ac:dyDescent="0.25">
      <c r="A20" s="1"/>
      <c r="B20" s="52" t="s">
        <v>143</v>
      </c>
      <c r="C20" s="12">
        <f>SUM(C13,C15,C17,C19)</f>
        <v>22003461.942665264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B7W58YPxOEhw05ulw5GXQxFiDDj1qTG9UKZAvt1flFcfcX0nfUdF1aQNGY4dPuEFFuPWyhPHU9XLGYmbwXwEQ==" saltValue="GK4xxR+1YvKNsU6hIfSn2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14848827.141157929</v>
      </c>
      <c r="D8" s="8" t="s">
        <v>3</v>
      </c>
      <c r="E8" s="1"/>
    </row>
    <row r="9" spans="1:5" ht="15" customHeight="1" x14ac:dyDescent="0.25">
      <c r="A9" s="1"/>
      <c r="B9" s="29" t="s">
        <v>17</v>
      </c>
      <c r="C9" s="9">
        <f>SUM(C8:C8)*'Fane 13. Nøgletal'!C16</f>
        <v>1199785.2330055607</v>
      </c>
      <c r="D9" s="8" t="s">
        <v>3</v>
      </c>
      <c r="E9" s="1"/>
    </row>
    <row r="10" spans="1:5" ht="15" customHeight="1" x14ac:dyDescent="0.25">
      <c r="A10" s="1"/>
      <c r="B10" s="29" t="s">
        <v>9</v>
      </c>
      <c r="C10" s="9">
        <f>-SUM(C8:C9)*'Fane 5. Individuelt eff. krav'!G9</f>
        <v>-320972.24748326978</v>
      </c>
      <c r="D10" s="8" t="s">
        <v>3</v>
      </c>
      <c r="E10" s="1"/>
    </row>
    <row r="11" spans="1:5" ht="15" customHeight="1" x14ac:dyDescent="0.25">
      <c r="A11" s="1"/>
      <c r="B11" s="29" t="s">
        <v>22</v>
      </c>
      <c r="C11" s="9">
        <f>-'Fane 4.1. Gen. krav - drift'!G64</f>
        <v>-172690.31138485149</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15554949.815295368</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7732729.2934691263</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69" t="s">
        <v>139</v>
      </c>
      <c r="C19" s="10">
        <f>'Fane 8. Skattesagen'!G15</f>
        <v>0</v>
      </c>
      <c r="D19" s="11" t="s">
        <v>3</v>
      </c>
      <c r="E19" s="1"/>
    </row>
    <row r="20" spans="1:5" x14ac:dyDescent="0.25">
      <c r="A20" s="1"/>
      <c r="B20" s="52" t="s">
        <v>205</v>
      </c>
      <c r="C20" s="12">
        <f>SUM(C13,C15,C17,C19)</f>
        <v>23287679.108764496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9ZRZdYumdIDd+2Wc+Oz5KAgQsvQvf4aoCNOwfgJmZfSEmzZSAai4vBa6Tpz1BF8oX+IS4ywjj3da3JxQ4M4gQA==" saltValue="6Klh/LNWIOvUKVMEKzfq/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12605960.164914651</v>
      </c>
      <c r="D8" s="8" t="s">
        <v>3</v>
      </c>
      <c r="E8" s="1"/>
    </row>
    <row r="9" spans="1:5" x14ac:dyDescent="0.25">
      <c r="A9" s="1"/>
      <c r="B9" s="24" t="s">
        <v>33</v>
      </c>
      <c r="C9" s="7">
        <v>248174.29080000002</v>
      </c>
      <c r="D9" s="8" t="s">
        <v>3</v>
      </c>
      <c r="E9" s="1"/>
    </row>
    <row r="10" spans="1:5" x14ac:dyDescent="0.25">
      <c r="A10" s="1"/>
      <c r="B10" s="24" t="s">
        <v>34</v>
      </c>
      <c r="C10" s="9">
        <v>53633.724000000002</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459516.54719784152</v>
      </c>
      <c r="D15" s="8" t="s">
        <v>3</v>
      </c>
      <c r="E15" s="1"/>
    </row>
    <row r="16" spans="1:5" x14ac:dyDescent="0.25">
      <c r="A16" s="1"/>
      <c r="B16" s="24" t="s">
        <v>9</v>
      </c>
      <c r="C16" s="9">
        <v>-267345.69453824981</v>
      </c>
      <c r="D16" s="8" t="s">
        <v>3</v>
      </c>
      <c r="E16" s="1"/>
    </row>
    <row r="17" spans="1:5" x14ac:dyDescent="0.25">
      <c r="A17" s="1"/>
      <c r="B17" s="24" t="s">
        <v>22</v>
      </c>
      <c r="C17" s="9">
        <v>-134565.85236986625</v>
      </c>
      <c r="D17" s="8" t="s">
        <v>3</v>
      </c>
      <c r="E17" s="1"/>
    </row>
    <row r="18" spans="1:5" x14ac:dyDescent="0.25">
      <c r="A18" s="1"/>
      <c r="B18" s="24" t="s">
        <v>23</v>
      </c>
      <c r="C18" s="9">
        <v>0</v>
      </c>
      <c r="D18" s="8" t="s">
        <v>3</v>
      </c>
      <c r="E18" s="1"/>
    </row>
    <row r="19" spans="1:5" x14ac:dyDescent="0.25">
      <c r="A19" s="1"/>
      <c r="B19" s="70" t="s">
        <v>19</v>
      </c>
      <c r="C19" s="10">
        <v>12965373.180004375</v>
      </c>
      <c r="D19" s="11" t="s">
        <v>3</v>
      </c>
      <c r="E19" s="1"/>
    </row>
    <row r="20" spans="1:5" x14ac:dyDescent="0.25">
      <c r="A20" s="1"/>
      <c r="B20" s="52" t="s">
        <v>11</v>
      </c>
      <c r="C20" s="53"/>
      <c r="D20" s="19"/>
      <c r="E20" s="1"/>
    </row>
    <row r="21" spans="1:5" x14ac:dyDescent="0.25">
      <c r="A21" s="1"/>
      <c r="B21" s="54" t="s">
        <v>11</v>
      </c>
      <c r="C21" s="10">
        <v>5684767.6769798407</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7">
        <v>0</v>
      </c>
      <c r="D27" s="11" t="s">
        <v>3</v>
      </c>
      <c r="E27" s="1"/>
    </row>
    <row r="28" spans="1:5" x14ac:dyDescent="0.25">
      <c r="A28" s="1"/>
      <c r="B28" s="26" t="s">
        <v>117</v>
      </c>
      <c r="C28" s="53"/>
      <c r="D28" s="19"/>
      <c r="E28" s="1"/>
    </row>
    <row r="29" spans="1:5" x14ac:dyDescent="0.25">
      <c r="A29" s="1"/>
      <c r="B29" s="69" t="s">
        <v>118</v>
      </c>
      <c r="C29" s="10">
        <v>-172526.6819983348</v>
      </c>
      <c r="D29" s="11" t="s">
        <v>3</v>
      </c>
      <c r="E29" s="1"/>
    </row>
    <row r="30" spans="1:5" x14ac:dyDescent="0.25">
      <c r="A30" s="1"/>
      <c r="B30" s="26" t="s">
        <v>138</v>
      </c>
      <c r="C30" s="53"/>
      <c r="D30" s="19"/>
      <c r="E30" s="1"/>
    </row>
    <row r="31" spans="1:5" x14ac:dyDescent="0.25">
      <c r="A31" s="1"/>
      <c r="B31" s="69" t="s">
        <v>139</v>
      </c>
      <c r="C31" s="10">
        <v>0</v>
      </c>
      <c r="D31" s="11" t="s">
        <v>3</v>
      </c>
      <c r="E31" s="1"/>
    </row>
    <row r="32" spans="1:5" x14ac:dyDescent="0.25">
      <c r="A32" s="1"/>
      <c r="B32" s="52" t="s">
        <v>239</v>
      </c>
      <c r="C32" s="33">
        <v>18477614.174985882</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U6fumW9VwyeBHA2tFbxQAmiABC7uRfftPJsuHbBGo09kxDEnIhpJmU+Df40hl5kez8FRTRAqdw84fzBmKhbtKA==" saltValue="V3Ni4RhXqkNkPQLlbAmnl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98" t="s">
        <v>44</v>
      </c>
      <c r="C4" s="99"/>
      <c r="D4" s="99"/>
      <c r="E4" s="99"/>
      <c r="F4" s="99"/>
      <c r="G4" s="99"/>
      <c r="H4" s="100"/>
      <c r="I4" s="1"/>
    </row>
    <row r="5" spans="1:9" x14ac:dyDescent="0.25">
      <c r="A5" s="1"/>
      <c r="B5" s="101" t="s">
        <v>36</v>
      </c>
      <c r="C5" s="102"/>
      <c r="D5" s="102"/>
      <c r="E5" s="102"/>
      <c r="F5" s="103"/>
      <c r="G5" s="47">
        <v>5404911</v>
      </c>
      <c r="H5" s="14" t="s">
        <v>3</v>
      </c>
      <c r="I5" s="1"/>
    </row>
    <row r="6" spans="1:9" x14ac:dyDescent="0.25">
      <c r="A6" s="1"/>
      <c r="B6" s="101" t="s">
        <v>37</v>
      </c>
      <c r="C6" s="102"/>
      <c r="D6" s="102"/>
      <c r="E6" s="102"/>
      <c r="F6" s="103"/>
      <c r="G6" s="22">
        <f>G5*'Fane 13. Nøgletal'!C33</f>
        <v>108098.22</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98" t="s">
        <v>45</v>
      </c>
      <c r="C9" s="99"/>
      <c r="D9" s="99"/>
      <c r="E9" s="99"/>
      <c r="F9" s="99"/>
      <c r="G9" s="99"/>
      <c r="H9" s="100"/>
      <c r="I9" s="1"/>
    </row>
    <row r="10" spans="1:9" x14ac:dyDescent="0.25">
      <c r="A10" s="1"/>
      <c r="B10" s="101" t="s">
        <v>38</v>
      </c>
      <c r="C10" s="102"/>
      <c r="D10" s="102"/>
      <c r="E10" s="102"/>
      <c r="F10" s="103"/>
      <c r="G10" s="22">
        <f>(G5-G6)*(1+'Fane 13. Nøgletal'!C9)</f>
        <v>5364082.3023060001</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107281.64604612</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98" t="s">
        <v>46</v>
      </c>
      <c r="C15" s="99"/>
      <c r="D15" s="99"/>
      <c r="E15" s="99"/>
      <c r="F15" s="99"/>
      <c r="G15" s="99"/>
      <c r="H15" s="100"/>
      <c r="I15" s="1"/>
    </row>
    <row r="16" spans="1:9" x14ac:dyDescent="0.25">
      <c r="A16" s="1"/>
      <c r="B16" s="101" t="s">
        <v>40</v>
      </c>
      <c r="C16" s="102"/>
      <c r="D16" s="102"/>
      <c r="E16" s="102"/>
      <c r="F16" s="103"/>
      <c r="G16" s="22">
        <f>(G10+G11-G12)*(1+'Fane 13. Nøgletal'!C11)</f>
        <v>5345640.5873506721</v>
      </c>
      <c r="H16" s="14" t="s">
        <v>3</v>
      </c>
      <c r="I16" s="1"/>
    </row>
    <row r="17" spans="1:9" x14ac:dyDescent="0.25">
      <c r="A17" s="1"/>
      <c r="B17" s="101" t="s">
        <v>100</v>
      </c>
      <c r="C17" s="102"/>
      <c r="D17" s="102"/>
      <c r="E17" s="102"/>
      <c r="F17" s="103"/>
      <c r="G17" s="47">
        <v>-307981.98159172566</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100753.17211517892</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98" t="s">
        <v>47</v>
      </c>
      <c r="C22" s="99"/>
      <c r="D22" s="99"/>
      <c r="E22" s="99"/>
      <c r="F22" s="99"/>
      <c r="G22" s="99"/>
      <c r="H22" s="100"/>
      <c r="I22" s="1"/>
    </row>
    <row r="23" spans="1:9" x14ac:dyDescent="0.25">
      <c r="A23" s="1"/>
      <c r="B23" s="101" t="s">
        <v>42</v>
      </c>
      <c r="C23" s="102"/>
      <c r="D23" s="102"/>
      <c r="E23" s="102"/>
      <c r="F23" s="103"/>
      <c r="G23" s="22">
        <f>(SUM(G16:G18)-G19)*(1+'Fane 13. Nøgletal'!C11)</f>
        <v>5020339.135472347</v>
      </c>
      <c r="H23" s="14" t="s">
        <v>3</v>
      </c>
      <c r="I23" s="1"/>
    </row>
    <row r="24" spans="1:9" x14ac:dyDescent="0.25">
      <c r="A24" s="1"/>
      <c r="B24" s="104" t="s">
        <v>230</v>
      </c>
      <c r="C24" s="105"/>
      <c r="D24" s="105"/>
      <c r="E24" s="105"/>
      <c r="F24" s="106"/>
      <c r="G24" s="47">
        <v>55417.585832730008</v>
      </c>
      <c r="H24" s="14" t="s">
        <v>3</v>
      </c>
      <c r="I24" s="1"/>
    </row>
    <row r="25" spans="1:9" x14ac:dyDescent="0.25">
      <c r="A25" s="1"/>
      <c r="B25" s="101" t="s">
        <v>43</v>
      </c>
      <c r="C25" s="102"/>
      <c r="D25" s="102"/>
      <c r="E25" s="102"/>
      <c r="F25" s="103"/>
      <c r="G25" s="22">
        <f>(G23+G24)*'Fane 13. Nøgletal'!C33</f>
        <v>101515.13442610155</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98" t="s">
        <v>121</v>
      </c>
      <c r="C28" s="99"/>
      <c r="D28" s="99"/>
      <c r="E28" s="99"/>
      <c r="F28" s="99"/>
      <c r="G28" s="99"/>
      <c r="H28" s="100"/>
      <c r="I28" s="1"/>
    </row>
    <row r="29" spans="1:9" x14ac:dyDescent="0.25">
      <c r="A29" s="1"/>
      <c r="B29" s="101" t="s">
        <v>50</v>
      </c>
      <c r="C29" s="102"/>
      <c r="D29" s="102"/>
      <c r="E29" s="102"/>
      <c r="F29" s="103"/>
      <c r="G29" s="22">
        <f>(G23+G24-G25)*(1+'Fane 13. Nøgletal'!C13)</f>
        <v>5034927.3342388989</v>
      </c>
      <c r="H29" s="14" t="s">
        <v>3</v>
      </c>
      <c r="I29" s="1"/>
    </row>
    <row r="30" spans="1:9" x14ac:dyDescent="0.25">
      <c r="A30" s="1"/>
      <c r="B30" s="101" t="s">
        <v>231</v>
      </c>
      <c r="C30" s="102"/>
      <c r="D30" s="102"/>
      <c r="E30" s="102"/>
      <c r="F30" s="103"/>
      <c r="G30" s="47">
        <v>1029893.91129828</v>
      </c>
      <c r="H30" s="14" t="s">
        <v>3</v>
      </c>
      <c r="I30" s="1"/>
    </row>
    <row r="31" spans="1:9" x14ac:dyDescent="0.25">
      <c r="A31" s="1"/>
      <c r="B31" s="101" t="s">
        <v>115</v>
      </c>
      <c r="C31" s="102"/>
      <c r="D31" s="102"/>
      <c r="E31" s="102"/>
      <c r="F31" s="103"/>
      <c r="G31" s="22">
        <f>(G29+G30)*'Fane 13. Nøgletal'!C33</f>
        <v>121296.42491074358</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98" t="s">
        <v>122</v>
      </c>
      <c r="C34" s="99"/>
      <c r="D34" s="99"/>
      <c r="E34" s="99"/>
      <c r="F34" s="99"/>
      <c r="G34" s="99"/>
      <c r="H34" s="100"/>
      <c r="I34" s="1"/>
    </row>
    <row r="35" spans="1:9" x14ac:dyDescent="0.25">
      <c r="A35" s="1"/>
      <c r="B35" s="101" t="s">
        <v>69</v>
      </c>
      <c r="C35" s="102"/>
      <c r="D35" s="102"/>
      <c r="E35" s="102"/>
      <c r="F35" s="103"/>
      <c r="G35" s="22">
        <f>(G29+G30-G31)*(1+'Fane 13. Nøgletal'!C13)</f>
        <v>6016035.8234380772</v>
      </c>
      <c r="H35" s="14" t="s">
        <v>3</v>
      </c>
      <c r="I35" s="1"/>
    </row>
    <row r="36" spans="1:9" x14ac:dyDescent="0.25">
      <c r="A36" s="1"/>
      <c r="B36" s="101" t="s">
        <v>232</v>
      </c>
      <c r="C36" s="102"/>
      <c r="D36" s="102"/>
      <c r="E36" s="102"/>
      <c r="F36" s="103"/>
      <c r="G36" s="47">
        <v>360316.36807550007</v>
      </c>
      <c r="H36" s="14" t="s">
        <v>3</v>
      </c>
      <c r="I36" s="1"/>
    </row>
    <row r="37" spans="1:9" x14ac:dyDescent="0.25">
      <c r="A37" s="1"/>
      <c r="B37" s="101" t="s">
        <v>123</v>
      </c>
      <c r="C37" s="102"/>
      <c r="D37" s="102"/>
      <c r="E37" s="102"/>
      <c r="F37" s="103"/>
      <c r="G37" s="22">
        <f>(G35+G36)*'Fane 13. Nøgletal'!C33</f>
        <v>127527.04383027155</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98" t="s">
        <v>157</v>
      </c>
      <c r="C40" s="99"/>
      <c r="D40" s="99"/>
      <c r="E40" s="99"/>
      <c r="F40" s="99"/>
      <c r="G40" s="99"/>
      <c r="H40" s="100"/>
      <c r="I40" s="1"/>
    </row>
    <row r="41" spans="1:9" x14ac:dyDescent="0.25">
      <c r="A41" s="1"/>
      <c r="B41" s="101" t="s">
        <v>68</v>
      </c>
      <c r="C41" s="102"/>
      <c r="D41" s="102"/>
      <c r="E41" s="102"/>
      <c r="F41" s="103"/>
      <c r="G41" s="22">
        <f>(G35+G36-G37)*(1+'Fane 13. Nøgletal'!C15)</f>
        <v>6471283.322940832</v>
      </c>
      <c r="H41" s="14" t="s">
        <v>3</v>
      </c>
      <c r="I41" s="1"/>
    </row>
    <row r="42" spans="1:9" x14ac:dyDescent="0.25">
      <c r="A42" s="1"/>
      <c r="B42" s="101" t="s">
        <v>156</v>
      </c>
      <c r="C42" s="102"/>
      <c r="D42" s="102"/>
      <c r="E42" s="102"/>
      <c r="F42" s="103"/>
      <c r="G42" s="22">
        <v>257009.29555248003</v>
      </c>
      <c r="H42" s="14" t="s">
        <v>3</v>
      </c>
      <c r="I42" s="1"/>
    </row>
    <row r="43" spans="1:9" x14ac:dyDescent="0.25">
      <c r="A43" s="1"/>
      <c r="B43" s="101" t="s">
        <v>166</v>
      </c>
      <c r="C43" s="102"/>
      <c r="D43" s="102"/>
      <c r="E43" s="102"/>
      <c r="F43" s="103"/>
      <c r="G43" s="22">
        <f>(G41+G42)*'Fane 13. Nøgletal'!C33</f>
        <v>134565.85236986625</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98" t="s">
        <v>158</v>
      </c>
      <c r="C46" s="99"/>
      <c r="D46" s="99"/>
      <c r="E46" s="99"/>
      <c r="F46" s="99"/>
      <c r="G46" s="99"/>
      <c r="H46" s="100"/>
      <c r="I46" s="1"/>
    </row>
    <row r="47" spans="1:9" x14ac:dyDescent="0.25">
      <c r="A47" s="1"/>
      <c r="B47" s="101" t="s">
        <v>112</v>
      </c>
      <c r="C47" s="102"/>
      <c r="D47" s="102"/>
      <c r="E47" s="102"/>
      <c r="F47" s="103"/>
      <c r="G47" s="22">
        <f>(G41+G42-G43)*(1+'Fane 13. Nøgletal'!C15)</f>
        <v>6828463.438997441</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438010.85988352</v>
      </c>
      <c r="H48" s="14" t="s">
        <v>3</v>
      </c>
      <c r="I48" s="1"/>
    </row>
    <row r="49" spans="1:9" x14ac:dyDescent="0.25">
      <c r="A49" s="1"/>
      <c r="B49" s="101" t="s">
        <v>167</v>
      </c>
      <c r="C49" s="102"/>
      <c r="D49" s="102"/>
      <c r="E49" s="102"/>
      <c r="F49" s="103"/>
      <c r="G49" s="22">
        <f>G47*'Fane 13. Nøgletal'!C33+G48*'Fane 13. Nøgletal'!C33</f>
        <v>145329.48597761922</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98" t="s">
        <v>133</v>
      </c>
      <c r="C52" s="99"/>
      <c r="D52" s="99"/>
      <c r="E52" s="99"/>
      <c r="F52" s="99"/>
      <c r="G52" s="99"/>
      <c r="H52" s="100"/>
      <c r="I52" s="1"/>
    </row>
    <row r="53" spans="1:9" x14ac:dyDescent="0.25">
      <c r="A53" s="1"/>
      <c r="B53" s="101" t="s">
        <v>134</v>
      </c>
      <c r="C53" s="102"/>
      <c r="D53" s="102"/>
      <c r="E53" s="102"/>
      <c r="F53" s="103"/>
      <c r="G53" s="22">
        <f>(G47+G48-G49)*(1+'Fane 13. Nøgletal'!C16)</f>
        <v>7696533.313785932</v>
      </c>
      <c r="H53" s="14" t="s">
        <v>3</v>
      </c>
      <c r="I53" s="1"/>
    </row>
    <row r="54" spans="1:9" x14ac:dyDescent="0.25">
      <c r="A54" s="1"/>
      <c r="B54" s="101" t="s">
        <v>135</v>
      </c>
      <c r="C54" s="102"/>
      <c r="D54" s="102"/>
      <c r="E54" s="102"/>
      <c r="F54" s="103"/>
      <c r="G54" s="22">
        <f>(G53)*'Fane 13. Nøgletal'!C33</f>
        <v>153930.66627571866</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98" t="s">
        <v>144</v>
      </c>
      <c r="C57" s="99"/>
      <c r="D57" s="99"/>
      <c r="E57" s="99"/>
      <c r="F57" s="99"/>
      <c r="G57" s="99"/>
      <c r="H57" s="100"/>
      <c r="I57" s="1"/>
    </row>
    <row r="58" spans="1:9" x14ac:dyDescent="0.25">
      <c r="A58" s="1"/>
      <c r="B58" s="101" t="s">
        <v>145</v>
      </c>
      <c r="C58" s="102"/>
      <c r="D58" s="102"/>
      <c r="E58" s="102"/>
      <c r="F58" s="103"/>
      <c r="G58" s="22">
        <f>(G53-G54)*(1+'Fane 13. Nøgletal'!C16)</f>
        <v>8152044.9414290385</v>
      </c>
      <c r="H58" s="14" t="s">
        <v>3</v>
      </c>
      <c r="I58" s="1"/>
    </row>
    <row r="59" spans="1:9" x14ac:dyDescent="0.25">
      <c r="A59" s="1"/>
      <c r="B59" s="101" t="s">
        <v>146</v>
      </c>
      <c r="C59" s="102"/>
      <c r="D59" s="102"/>
      <c r="E59" s="102"/>
      <c r="F59" s="103"/>
      <c r="G59" s="22">
        <f>(G58)*'Fane 13. Nøgletal'!C33</f>
        <v>163040.89882858077</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98" t="s">
        <v>220</v>
      </c>
      <c r="C62" s="99"/>
      <c r="D62" s="99"/>
      <c r="E62" s="99"/>
      <c r="F62" s="99"/>
      <c r="G62" s="99"/>
      <c r="H62" s="100"/>
      <c r="I62" s="1"/>
    </row>
    <row r="63" spans="1:9" x14ac:dyDescent="0.25">
      <c r="A63" s="1"/>
      <c r="B63" s="101" t="s">
        <v>221</v>
      </c>
      <c r="C63" s="102"/>
      <c r="D63" s="102"/>
      <c r="E63" s="102"/>
      <c r="F63" s="103"/>
      <c r="G63" s="22">
        <f>(G58-G59)*(1+'Fane 13. Nøgletal'!C16)</f>
        <v>8634515.5692425743</v>
      </c>
      <c r="H63" s="14" t="s">
        <v>3</v>
      </c>
      <c r="I63" s="1"/>
    </row>
    <row r="64" spans="1:9" x14ac:dyDescent="0.25">
      <c r="A64" s="1"/>
      <c r="B64" s="101" t="s">
        <v>222</v>
      </c>
      <c r="C64" s="102"/>
      <c r="D64" s="102"/>
      <c r="E64" s="102"/>
      <c r="F64" s="103"/>
      <c r="G64" s="22">
        <f>(G63)*'Fane 13. Nøgletal'!C33</f>
        <v>172690.31138485149</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lPiDuETxg4yVmuZGuqh85J2ZnNm2VqJ0YFHaCdkY3j9ZMvi7CkiNvkILcBpJzfQvHIiOh/qHi/eKPHexbLOy4w==" saltValue="zvXQTONLxeIw/fv0rlng6w=="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98" t="s">
        <v>48</v>
      </c>
      <c r="C4" s="99"/>
      <c r="D4" s="99"/>
      <c r="E4" s="99"/>
      <c r="F4" s="99"/>
      <c r="G4" s="99"/>
      <c r="H4" s="100"/>
      <c r="I4" s="1"/>
    </row>
    <row r="5" spans="1:9" x14ac:dyDescent="0.25">
      <c r="A5" s="1"/>
      <c r="B5" s="101" t="s">
        <v>51</v>
      </c>
      <c r="C5" s="102"/>
      <c r="D5" s="102"/>
      <c r="E5" s="102"/>
      <c r="F5" s="103"/>
      <c r="G5" s="47">
        <v>5885449.4345811922</v>
      </c>
      <c r="H5" s="14" t="s">
        <v>3</v>
      </c>
      <c r="I5" s="1"/>
    </row>
    <row r="6" spans="1:9" x14ac:dyDescent="0.25">
      <c r="A6" s="1"/>
      <c r="B6" s="101" t="s">
        <v>49</v>
      </c>
      <c r="C6" s="102"/>
      <c r="D6" s="102"/>
      <c r="E6" s="102"/>
      <c r="F6" s="103"/>
      <c r="G6" s="22">
        <f>G5*'Fane 13. Nøgletal'!C21</f>
        <v>53557.589854688849</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98" t="s">
        <v>52</v>
      </c>
      <c r="C9" s="99"/>
      <c r="D9" s="99"/>
      <c r="E9" s="99"/>
      <c r="F9" s="99"/>
      <c r="G9" s="99"/>
      <c r="H9" s="100"/>
      <c r="I9" s="1"/>
    </row>
    <row r="10" spans="1:9" x14ac:dyDescent="0.25">
      <c r="A10" s="1"/>
      <c r="B10" s="101" t="s">
        <v>53</v>
      </c>
      <c r="C10" s="102"/>
      <c r="D10" s="102"/>
      <c r="E10" s="102"/>
      <c r="F10" s="103"/>
      <c r="G10" s="22">
        <f>(G5-G6)*(1+'Fane 13. Nøgletal'!C9)</f>
        <v>5905956.871154529</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53744.207527506216</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98" t="s">
        <v>56</v>
      </c>
      <c r="C15" s="99"/>
      <c r="D15" s="99"/>
      <c r="E15" s="99"/>
      <c r="F15" s="99"/>
      <c r="G15" s="99"/>
      <c r="H15" s="100"/>
      <c r="I15" s="1"/>
    </row>
    <row r="16" spans="1:9" x14ac:dyDescent="0.25">
      <c r="A16" s="1"/>
      <c r="B16" s="101" t="s">
        <v>57</v>
      </c>
      <c r="C16" s="102"/>
      <c r="D16" s="102"/>
      <c r="E16" s="102"/>
      <c r="F16" s="103"/>
      <c r="G16" s="22">
        <f>(G10+G11-G12)*(1+'Fane 13. Nøgletal'!C11)</f>
        <v>5951115.0576423192</v>
      </c>
      <c r="H16" s="14" t="s">
        <v>3</v>
      </c>
      <c r="I16" s="1"/>
    </row>
    <row r="17" spans="1:9" x14ac:dyDescent="0.25">
      <c r="A17" s="1"/>
      <c r="B17" s="101" t="s">
        <v>101</v>
      </c>
      <c r="C17" s="102"/>
      <c r="D17" s="102"/>
      <c r="E17" s="102"/>
      <c r="F17" s="103"/>
      <c r="G17" s="47">
        <v>59462.366569985788</v>
      </c>
      <c r="H17" s="14" t="s">
        <v>3</v>
      </c>
      <c r="I17" s="1"/>
    </row>
    <row r="18" spans="1:9" x14ac:dyDescent="0.25">
      <c r="A18" s="1"/>
      <c r="B18" s="104" t="s">
        <v>58</v>
      </c>
      <c r="C18" s="105"/>
      <c r="D18" s="105"/>
      <c r="E18" s="105"/>
      <c r="F18" s="106"/>
      <c r="G18" s="47">
        <v>214331.82212786996</v>
      </c>
      <c r="H18" s="14" t="s">
        <v>3</v>
      </c>
      <c r="I18" s="1"/>
    </row>
    <row r="19" spans="1:9" x14ac:dyDescent="0.25">
      <c r="A19" s="1"/>
      <c r="B19" s="101" t="s">
        <v>59</v>
      </c>
      <c r="C19" s="102"/>
      <c r="D19" s="102"/>
      <c r="E19" s="102"/>
      <c r="F19" s="103"/>
      <c r="G19" s="22">
        <f>(G16+G17+G18)*'Fane 13. Nøgletal'!C23</f>
        <v>54156.710443159522</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98" t="s">
        <v>60</v>
      </c>
      <c r="C22" s="99"/>
      <c r="D22" s="99"/>
      <c r="E22" s="99"/>
      <c r="F22" s="99"/>
      <c r="G22" s="99"/>
      <c r="H22" s="100"/>
      <c r="I22" s="1"/>
    </row>
    <row r="23" spans="1:9" x14ac:dyDescent="0.25">
      <c r="A23" s="1"/>
      <c r="B23" s="101" t="s">
        <v>61</v>
      </c>
      <c r="C23" s="102"/>
      <c r="D23" s="102"/>
      <c r="E23" s="102"/>
      <c r="F23" s="103"/>
      <c r="G23" s="22">
        <f>(SUM(G16:G18)-G19)*(1+'Fane 13. Nøgletal'!C11)</f>
        <v>6275038.2537536742</v>
      </c>
      <c r="H23" s="14" t="s">
        <v>3</v>
      </c>
      <c r="I23" s="1"/>
    </row>
    <row r="24" spans="1:9" x14ac:dyDescent="0.25">
      <c r="A24" s="1"/>
      <c r="B24" s="104" t="s">
        <v>62</v>
      </c>
      <c r="C24" s="105"/>
      <c r="D24" s="105"/>
      <c r="E24" s="105"/>
      <c r="F24" s="106"/>
      <c r="G24" s="47">
        <v>362809.48034697305</v>
      </c>
      <c r="H24" s="14" t="s">
        <v>3</v>
      </c>
      <c r="I24" s="1"/>
    </row>
    <row r="25" spans="1:9" x14ac:dyDescent="0.25">
      <c r="A25" s="1"/>
      <c r="B25" s="101" t="s">
        <v>63</v>
      </c>
      <c r="C25" s="102"/>
      <c r="D25" s="102"/>
      <c r="E25" s="102"/>
      <c r="F25" s="103"/>
      <c r="G25" s="22">
        <f>G23*'Fane 13. Nøgletal'!C23+G24*'Fane 13. Nøgletal'!C24</f>
        <v>64896.622049510996</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98" t="s">
        <v>119</v>
      </c>
      <c r="C28" s="99"/>
      <c r="D28" s="99"/>
      <c r="E28" s="99"/>
      <c r="F28" s="99"/>
      <c r="G28" s="99"/>
      <c r="H28" s="100"/>
      <c r="I28" s="1"/>
    </row>
    <row r="29" spans="1:9" x14ac:dyDescent="0.25">
      <c r="A29" s="1"/>
      <c r="B29" s="101" t="s">
        <v>64</v>
      </c>
      <c r="C29" s="102"/>
      <c r="D29" s="102"/>
      <c r="E29" s="102"/>
      <c r="F29" s="103"/>
      <c r="G29" s="22">
        <f>(G23+G24-G25)*(1+'Fane 13. Nøgletal'!C13)</f>
        <v>6653141.11561816</v>
      </c>
      <c r="H29" s="14" t="s">
        <v>3</v>
      </c>
      <c r="I29" s="1"/>
    </row>
    <row r="30" spans="1:9" x14ac:dyDescent="0.25">
      <c r="A30" s="1"/>
      <c r="B30" s="101" t="s">
        <v>113</v>
      </c>
      <c r="C30" s="102"/>
      <c r="D30" s="102"/>
      <c r="E30" s="102"/>
      <c r="F30" s="103"/>
      <c r="G30" s="47">
        <v>742102.24033764005</v>
      </c>
      <c r="H30" s="14" t="s">
        <v>3</v>
      </c>
      <c r="I30" s="1"/>
    </row>
    <row r="31" spans="1:9" x14ac:dyDescent="0.25">
      <c r="A31" s="1"/>
      <c r="B31" s="101" t="s">
        <v>120</v>
      </c>
      <c r="C31" s="102"/>
      <c r="D31" s="102"/>
      <c r="E31" s="102"/>
      <c r="F31" s="103"/>
      <c r="G31" s="22">
        <f>(G29+G30)*'Fane 13. Nøgletal'!C25</f>
        <v>203369.19228878451</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98" t="s">
        <v>124</v>
      </c>
      <c r="C34" s="99"/>
      <c r="D34" s="99"/>
      <c r="E34" s="99"/>
      <c r="F34" s="99"/>
      <c r="G34" s="99"/>
      <c r="H34" s="100"/>
      <c r="I34" s="1"/>
    </row>
    <row r="35" spans="1:9" x14ac:dyDescent="0.25">
      <c r="A35" s="1"/>
      <c r="B35" s="101" t="s">
        <v>67</v>
      </c>
      <c r="C35" s="102"/>
      <c r="D35" s="102"/>
      <c r="E35" s="102"/>
      <c r="F35" s="103"/>
      <c r="G35" s="22">
        <f>(G29+G30-G31)*(1+'Fane 13. Nøgletal'!C13)</f>
        <v>7279615.0284637529</v>
      </c>
      <c r="H35" s="14" t="s">
        <v>3</v>
      </c>
      <c r="I35" s="1"/>
    </row>
    <row r="36" spans="1:9" x14ac:dyDescent="0.25">
      <c r="A36" s="1"/>
      <c r="B36" s="101" t="s">
        <v>129</v>
      </c>
      <c r="C36" s="102"/>
      <c r="D36" s="102"/>
      <c r="E36" s="102"/>
      <c r="F36" s="103"/>
      <c r="G36" s="22">
        <v>27384.849262450007</v>
      </c>
      <c r="H36" s="14" t="s">
        <v>3</v>
      </c>
      <c r="I36" s="1"/>
    </row>
    <row r="37" spans="1:9" x14ac:dyDescent="0.25">
      <c r="A37" s="1"/>
      <c r="B37" s="101" t="s">
        <v>125</v>
      </c>
      <c r="C37" s="102"/>
      <c r="D37" s="102"/>
      <c r="E37" s="102"/>
      <c r="F37" s="103"/>
      <c r="G37" s="22">
        <f>G35*'Fane 13. Nøgletal'!C25+G36*'Fane 13. Nøgletal'!C26</f>
        <v>200594.70905183748</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98" t="s">
        <v>159</v>
      </c>
      <c r="C40" s="99"/>
      <c r="D40" s="99"/>
      <c r="E40" s="99"/>
      <c r="F40" s="99"/>
      <c r="G40" s="99"/>
      <c r="H40" s="100"/>
      <c r="I40" s="1"/>
    </row>
    <row r="41" spans="1:9" x14ac:dyDescent="0.25">
      <c r="A41" s="1"/>
      <c r="B41" s="101" t="s">
        <v>66</v>
      </c>
      <c r="C41" s="102"/>
      <c r="D41" s="102"/>
      <c r="E41" s="102"/>
      <c r="F41" s="103"/>
      <c r="G41" s="22">
        <f>(G35+G36-G37)*(1+'Fane 13. Nøgletal'!C15)</f>
        <v>7359393.1926791733</v>
      </c>
      <c r="H41" s="14" t="s">
        <v>3</v>
      </c>
      <c r="I41" s="1"/>
    </row>
    <row r="42" spans="1:9" x14ac:dyDescent="0.25">
      <c r="A42" s="1"/>
      <c r="B42" s="101" t="s">
        <v>169</v>
      </c>
      <c r="C42" s="102"/>
      <c r="D42" s="102"/>
      <c r="E42" s="102"/>
      <c r="F42" s="103"/>
      <c r="G42" s="9">
        <v>55543.084574400003</v>
      </c>
      <c r="H42" s="14" t="s">
        <v>3</v>
      </c>
      <c r="I42" s="1"/>
    </row>
    <row r="43" spans="1:9" x14ac:dyDescent="0.25">
      <c r="A43" s="1"/>
      <c r="B43" s="101" t="s">
        <v>65</v>
      </c>
      <c r="C43" s="102"/>
      <c r="D43" s="102"/>
      <c r="E43" s="102"/>
      <c r="F43" s="103"/>
      <c r="G43" s="48">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98" t="s">
        <v>160</v>
      </c>
      <c r="C46" s="99"/>
      <c r="D46" s="99"/>
      <c r="E46" s="99"/>
      <c r="F46" s="99"/>
      <c r="G46" s="99"/>
      <c r="H46" s="100"/>
      <c r="I46" s="1"/>
    </row>
    <row r="47" spans="1:9" x14ac:dyDescent="0.25">
      <c r="A47" s="1"/>
      <c r="B47" s="101" t="s">
        <v>114</v>
      </c>
      <c r="C47" s="102"/>
      <c r="D47" s="102"/>
      <c r="E47" s="102"/>
      <c r="F47" s="103"/>
      <c r="G47" s="22">
        <f>(G41+G42-G43)*(1+'Fane 13. Nøgletal'!C15)</f>
        <v>7678908.0087238019</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85826.230961452791</v>
      </c>
      <c r="H48" s="14" t="s">
        <v>3</v>
      </c>
      <c r="I48" s="1"/>
    </row>
    <row r="49" spans="1:9" x14ac:dyDescent="0.25">
      <c r="A49" s="1"/>
      <c r="B49" s="101" t="s">
        <v>211</v>
      </c>
      <c r="C49" s="102"/>
      <c r="D49" s="102"/>
      <c r="E49" s="102"/>
      <c r="F49" s="103"/>
      <c r="G49" s="48">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98" t="s">
        <v>130</v>
      </c>
      <c r="C52" s="99"/>
      <c r="D52" s="99"/>
      <c r="E52" s="99"/>
      <c r="F52" s="99"/>
      <c r="G52" s="99"/>
      <c r="H52" s="100"/>
      <c r="I52" s="1"/>
    </row>
    <row r="53" spans="1:9" x14ac:dyDescent="0.25">
      <c r="A53" s="1"/>
      <c r="B53" s="101" t="s">
        <v>131</v>
      </c>
      <c r="C53" s="102"/>
      <c r="D53" s="102"/>
      <c r="E53" s="102"/>
      <c r="F53" s="103"/>
      <c r="G53" s="22">
        <f>(G47+G48-G49)*(1+'Fane 13. Nøgletal'!C16)</f>
        <v>8392124.7662518229</v>
      </c>
      <c r="H53" s="14" t="s">
        <v>3</v>
      </c>
      <c r="I53" s="1"/>
    </row>
    <row r="54" spans="1:9" x14ac:dyDescent="0.25">
      <c r="A54" s="1"/>
      <c r="B54" s="101" t="s">
        <v>132</v>
      </c>
      <c r="C54" s="102"/>
      <c r="D54" s="102"/>
      <c r="E54" s="102"/>
      <c r="F54" s="103"/>
      <c r="G54" s="48">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98" t="s">
        <v>147</v>
      </c>
      <c r="C57" s="99"/>
      <c r="D57" s="99"/>
      <c r="E57" s="99"/>
      <c r="F57" s="99"/>
      <c r="G57" s="99"/>
      <c r="H57" s="100"/>
      <c r="I57" s="1"/>
    </row>
    <row r="58" spans="1:9" x14ac:dyDescent="0.25">
      <c r="A58" s="1"/>
      <c r="B58" s="101" t="s">
        <v>148</v>
      </c>
      <c r="C58" s="102"/>
      <c r="D58" s="102"/>
      <c r="E58" s="102"/>
      <c r="F58" s="103"/>
      <c r="G58" s="22">
        <f>(G53-G54)*(1+'Fane 13. Nøgletal'!C16)</f>
        <v>9070208.4473649692</v>
      </c>
      <c r="H58" s="14" t="s">
        <v>3</v>
      </c>
      <c r="I58" s="1"/>
    </row>
    <row r="59" spans="1:9" x14ac:dyDescent="0.25">
      <c r="A59" s="1"/>
      <c r="B59" s="101" t="s">
        <v>149</v>
      </c>
      <c r="C59" s="102"/>
      <c r="D59" s="102"/>
      <c r="E59" s="102"/>
      <c r="F59" s="103"/>
      <c r="G59" s="48">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98" t="s">
        <v>223</v>
      </c>
      <c r="C62" s="99"/>
      <c r="D62" s="99"/>
      <c r="E62" s="99"/>
      <c r="F62" s="99"/>
      <c r="G62" s="99"/>
      <c r="H62" s="100"/>
      <c r="I62" s="1"/>
    </row>
    <row r="63" spans="1:9" x14ac:dyDescent="0.25">
      <c r="A63" s="1"/>
      <c r="B63" s="101" t="s">
        <v>224</v>
      </c>
      <c r="C63" s="102"/>
      <c r="D63" s="102"/>
      <c r="E63" s="102"/>
      <c r="F63" s="103"/>
      <c r="G63" s="22">
        <f>(G58-G59)*(1+'Fane 13. Nøgletal'!C16)</f>
        <v>9803081.289912058</v>
      </c>
      <c r="H63" s="14" t="s">
        <v>3</v>
      </c>
      <c r="I63" s="1"/>
    </row>
    <row r="64" spans="1:9" x14ac:dyDescent="0.25">
      <c r="A64" s="1"/>
      <c r="B64" s="101" t="s">
        <v>225</v>
      </c>
      <c r="C64" s="102"/>
      <c r="D64" s="102"/>
      <c r="E64" s="102"/>
      <c r="F64" s="103"/>
      <c r="G64" s="48">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5nD+o+BMDKD6MuLYwlHRHZpHhX4sVCv1zN73RmT1D3KVV/r0hZHg04qXPdvlOqA5wNR5vjiE59P5zcNVDMCzVg==" saltValue="+Tk50YD+hmHoWzXikaQsVg=="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98" t="s">
        <v>9</v>
      </c>
      <c r="C8" s="99"/>
      <c r="D8" s="99"/>
      <c r="E8" s="99"/>
      <c r="F8" s="99"/>
      <c r="G8" s="100"/>
      <c r="H8" s="1"/>
    </row>
    <row r="9" spans="1:8" x14ac:dyDescent="0.25">
      <c r="A9" s="1"/>
      <c r="B9" s="62" t="s">
        <v>150</v>
      </c>
      <c r="C9" s="63"/>
      <c r="D9" s="63"/>
      <c r="E9" s="63"/>
      <c r="F9" s="64"/>
      <c r="G9" s="51">
        <v>0.02</v>
      </c>
      <c r="H9" s="1"/>
    </row>
    <row r="10" spans="1:8" x14ac:dyDescent="0.25">
      <c r="A10" s="1"/>
      <c r="B10" s="52"/>
      <c r="C10" s="53"/>
      <c r="D10" s="53"/>
      <c r="E10" s="53"/>
      <c r="F10" s="53"/>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j3HNmZwLJoO1LALqpeKSvMsQCMOwrusDQNUJzefR9dZqolczEE5VPwyVkva7OIZiPOjZ9y9bswyXIQkeXRycrA==" saltValue="p8euoaNjtjSeF0c3msc/Jg=="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2023-08-22T08:00:24Z</dcterms:modified>
</cp:coreProperties>
</file>