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ønderborg Spildevandsforsyning AS (S09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<sst xmlns="http://schemas.openxmlformats.org/spreadsheetml/2006/main" count="615" uniqueCount="292">
  <si>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</si>
  <si>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</si>
  <si>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</si>
  <si>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</si>
  <si>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</si>
  <si>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</si>
  <si>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</si>
  <si>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</si>
  <si>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</si>
  <si>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</si>
  <si>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</si>
  <si>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</si>
  <si>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</si>
  <si>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</si>
  <si>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</si>
  <si>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</si>
  <si>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</si>
  <si>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</si>
  <si>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</si>
  <si>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</si>
  <si>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</si>
  <si>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</si>
  <si>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</si>
  <si>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</si>
  <si>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</si>
  <si>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</si>
  <si>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</si>
  <si>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</si>
  <si>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</si>
  <si>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</si>
  <si>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</si>
  <si>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</si>
  <si>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</si>
  <si>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</si>
  <si>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</si>
  <si>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</si>
  <si>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</si>
  <si>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</si>
  <si>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</si>
  <si>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</si>
  <si>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</si>
  <si>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</si>
  <si>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</si>
  <si>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</si>
  <si>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</si>
  <si>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</si>
  <si>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</si>
  <si>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</si>
  <si>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</si>
  <si>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</si>
  <si>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</si>
  <si>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</si>
  <si>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</si>
  <si>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</si>
  <si>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</si>
  <si>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</si>
  <si>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</si>
  <si>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</si>
  <si>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</si>
  <si>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</si>
  <si>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</si>
  <si>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</si>
  <si>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</si>
  <si>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</si>
  <si>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</si>
  <si>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</si>
  <si>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</si>
  <si>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</si>
  <si>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</si>
  <si>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</si>
  <si>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</si>
  <si>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</si>
  <si>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</si>
  <si>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</si>
  <si>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</si>
  <si>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</si>
  <si>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</si>
  <si>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</si>
  <si>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</si>
  <si>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</si>
  <si>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</si>
  <si>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</si>
  <si>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</si>
  <si>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</si>
  <si>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</si>
  <si>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</si>
  <si>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</si>
  <si>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</si>
  <si>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</si>
  <si>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</si>
  <si>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</si>
  <si>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</si>
  <si>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</si>
  <si>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</si>
  <si>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</si>
  <si>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</si>
  <si>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</si>
  <si>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</si>
  <si>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</si>
  <si>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</si>
  <si>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</si>
  <si>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</si>
  <si>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</si>
  <si>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</si>
  <si>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</si>
  <si>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</si>
  <si>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</si>
  <si>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</si>
  <si>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</si>
  <si>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</si>
  <si>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</si>
  <si>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</si>
  <si>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</si>
  <si>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</si>
  <si>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</si>
  <si>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</si>
  <si>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</si>
  <si>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</si>
  <si>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</si>
  <si>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</si>
  <si>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</si>
  <si>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</si>
  <si>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</si>
  <si>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</si>
  <si>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</si>
  <si>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</si>
  <si>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</si>
  <si>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</si>
  <si>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</si>
  <si>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</si>
  <si>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</si>
  <si>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</si>
  <si>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</si>
  <si>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</si>
  <si>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</si>
  <si>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</si>
  <si>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</si>
  <si>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</si>
  <si>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</si>
  <si>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</si>
  <si>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</si>
  <si>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</si>
  <si>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</si>
  <si>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</si>
  <si>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</si>
  <si>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</si>
  <si>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</si>
  <si>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</si>
  <si>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</si>
  <si>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</si>
  <si>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</si>
  <si>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</si>
  <si>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</si>
  <si>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</si>
  <si>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</si>
  <si>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</si>
  <si>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</si>
  <si>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</si>
  <si>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</si>
  <si>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</si>
  <si>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</si>
  <si>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</si>
  <si>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</si>
  <si>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</si>
  <si>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</si>
  <si>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</si>
  <si>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</si>
  <si>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</si>
  <si>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</si>
  <si>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</si>
  <si>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</si>
  <si>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</si>
  <si>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</si>
  <si>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</si>
  <si>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</si>
  <si>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</si>
  <si>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</si>
  <si>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</si>
  <si>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</si>
  <si>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</si>
  <si>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</si>
  <si>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</si>
  <si>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</si>
  <si>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</si>
  <si>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</si>
  <si>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</si>
  <si>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</si>
  <si>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</si>
  <si>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</si>
  <si>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</si>
  <si>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</si>
  <si>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</si>
  <si>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</si>
  <si>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</si>
  <si>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</si>
  <si>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</si>
  <si>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</si>
  <si>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</si>
  <si>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</si>
  <si>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</si>
  <si>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</si>
  <si>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</si>
  <si>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</si>
  <si>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</si>
  <si>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</si>
  <si>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</si>
  <si>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</si>
  <si>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</si>
  <si>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</si>
  <si>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</si>
  <si>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</si>
  <si>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</si>
  <si>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</si>
  <si>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</si>
  <si>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</si>
  <si>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</si>
  <si>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</si>
  <si>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</si>
  <si>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</si>
  <si>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</si>
  <si>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</si>
  <si>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</si>
  <si>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</si>
  <si>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</si>
  <si>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</si>
  <si>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</si>
  <si>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</si>
  <si>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</si>
  <si>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</si>
  <si>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</si>
  <si>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</si>
  <si>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</si>
  <si>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</si>
  <si>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</si>
  <si>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</si>
  <si>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</si>
  <si>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</si>
  <si>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</si>
  <si>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</si>
  <si>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</si>
  <si>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</si>
  <si>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</si>
  <si>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</si>
  <si>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</si>
  <si>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</si>
  <si>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</si>
  <si>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</si>
  <si>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</si>
  <si>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</si>
  <si>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</si>
  <si>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</si>
  <si>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</si>
  <si>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</si>
  <si>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</si>
  <si>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</si>
  <si>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</si>
  <si>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</si>
  <si>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</si>
  <si>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</si>
  <si>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</si>
  <si>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</si>
  <si>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</si>
  <si>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</si>
  <si>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</si>
  <si>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</si>
  <si>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</si>
  <si>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</si>
  <si>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</si>
  <si>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</si>
  <si>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</si>
  <si>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</si>
  <si>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</si>
  <si>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Erstatninger</t>
  </si>
  <si>
    <t>Ingen anlægsprojekter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</si>
  <si>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</si>
  <si>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</si>
  <si>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</si>
  <si>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</si>
  <si>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</si>
  <si>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</si>
  <si>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</si>
  <si>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</si>
  <si>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</si>
  <si>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</si>
  <si>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Bassin Rema Guderup</t>
  </si>
  <si>
    <t>Udvidelse af forsyningsområdet</t>
  </si>
  <si>
    <t>Ingen engangstillæg</t>
  </si>
  <si>
    <t>Indregnet fradrag i økonomisk ramme for 2022</t>
  </si>
  <si>
    <t>Indregnet fradrag i økonomisk ramme for 2023</t>
  </si>
  <si>
    <t>Korrektion af fradrag i den økonomiske ramme for 2023</t>
  </si>
  <si>
    <t>Tillæg/fradrag i den økonnomiske ramme for 2023</t>
  </si>
  <si>
    <t>Separatkloakeringer, bassiner og oversvømmelseskort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</si>
</sst>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8" t="s">
        <v>227</v>
      </c>
      <c r="E8" s="108"/>
      <c r="F8" s="108"/>
      <c r="G8" s="108"/>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5"/>
      <c r="I12" s="1"/>
    </row>
    <row r="13" spans="1:9" x14ac:dyDescent="0.25">
      <c r="A13" s="1"/>
      <c r="B13" s="1"/>
      <c r="C13" s="6" t="s">
        <v>6</v>
      </c>
      <c r="D13" s="112" t="s">
        <v>169</v>
      </c>
      <c r="E13" s="113"/>
      <c r="F13" s="113"/>
      <c r="G13" s="114"/>
      <c r="H13" s="5"/>
      <c r="I13" s="1"/>
    </row>
    <row r="14" spans="1:9" x14ac:dyDescent="0.25">
      <c r="A14" s="1"/>
      <c r="B14" s="1"/>
      <c r="C14" s="6" t="s">
        <v>16</v>
      </c>
      <c r="D14" s="97" t="s">
        <v>237</v>
      </c>
      <c r="E14" s="98"/>
      <c r="F14" s="98"/>
      <c r="G14" s="99"/>
      <c r="H14" s="5"/>
      <c r="I14" s="1"/>
    </row>
    <row r="15" spans="1:9" x14ac:dyDescent="0.25">
      <c r="A15" s="1"/>
      <c r="B15" s="1"/>
      <c r="C15" s="6" t="s">
        <v>34</v>
      </c>
      <c r="D15" s="97" t="s">
        <v>170</v>
      </c>
      <c r="E15" s="98"/>
      <c r="F15" s="98"/>
      <c r="G15" s="99"/>
      <c r="H15" s="5"/>
      <c r="I15" s="1"/>
    </row>
    <row r="16" spans="1:9" x14ac:dyDescent="0.25">
      <c r="A16" s="1"/>
      <c r="B16" s="1"/>
      <c r="C16" s="6" t="s">
        <v>35</v>
      </c>
      <c r="D16" s="97" t="s">
        <v>183</v>
      </c>
      <c r="E16" s="98"/>
      <c r="F16" s="98"/>
      <c r="G16" s="99"/>
      <c r="H16" s="5"/>
      <c r="I16" s="1"/>
    </row>
    <row r="17" spans="1:9" x14ac:dyDescent="0.25">
      <c r="A17" s="1"/>
      <c r="B17" s="1"/>
      <c r="C17" s="6" t="s">
        <v>119</v>
      </c>
      <c r="D17" s="97" t="s">
        <v>184</v>
      </c>
      <c r="E17" s="98"/>
      <c r="F17" s="98"/>
      <c r="G17" s="99"/>
      <c r="H17" s="5"/>
      <c r="I17" s="1"/>
    </row>
    <row r="18" spans="1:9" x14ac:dyDescent="0.25">
      <c r="A18" s="1"/>
      <c r="B18" s="1"/>
      <c r="C18" s="6" t="s">
        <v>106</v>
      </c>
      <c r="D18" s="109" t="s">
        <v>95</v>
      </c>
      <c r="E18" s="110"/>
      <c r="F18" s="110"/>
      <c r="G18" s="111"/>
      <c r="H18" s="5"/>
      <c r="I18" s="1"/>
    </row>
    <row r="19" spans="1:9" x14ac:dyDescent="0.25">
      <c r="A19" s="1"/>
      <c r="B19" s="1"/>
      <c r="C19" s="6" t="s">
        <v>107</v>
      </c>
      <c r="D19" s="109" t="s">
        <v>96</v>
      </c>
      <c r="E19" s="110"/>
      <c r="F19" s="110"/>
      <c r="G19" s="111"/>
      <c r="H19" s="5"/>
      <c r="I19" s="1"/>
    </row>
    <row r="20" spans="1:9" x14ac:dyDescent="0.25">
      <c r="A20" s="1"/>
      <c r="B20" s="1"/>
      <c r="C20" s="6" t="s">
        <v>7</v>
      </c>
      <c r="D20" s="109" t="s">
        <v>10</v>
      </c>
      <c r="E20" s="110"/>
      <c r="F20" s="110"/>
      <c r="G20" s="111"/>
      <c r="H20" s="5"/>
      <c r="I20" s="1"/>
    </row>
    <row r="21" spans="1:9" x14ac:dyDescent="0.25">
      <c r="A21" s="1"/>
      <c r="B21" s="1"/>
      <c r="C21" s="6" t="s">
        <v>108</v>
      </c>
      <c r="D21" s="101" t="s">
        <v>12</v>
      </c>
      <c r="E21" s="102"/>
      <c r="F21" s="102"/>
      <c r="G21" s="103"/>
      <c r="H21" s="5"/>
      <c r="I21" s="1"/>
    </row>
    <row r="22" spans="1:9" x14ac:dyDescent="0.25">
      <c r="A22" s="1"/>
      <c r="B22" s="1"/>
      <c r="C22" s="6" t="s">
        <v>83</v>
      </c>
      <c r="D22" s="104" t="s">
        <v>185</v>
      </c>
      <c r="E22" s="105"/>
      <c r="F22" s="105"/>
      <c r="G22" s="106"/>
      <c r="H22" s="5"/>
      <c r="I22" s="1"/>
    </row>
    <row r="23" spans="1:9" x14ac:dyDescent="0.25">
      <c r="A23" s="1"/>
      <c r="B23" s="1"/>
      <c r="C23" s="6" t="s">
        <v>8</v>
      </c>
      <c r="D23" s="104" t="s">
        <v>255</v>
      </c>
      <c r="E23" s="105"/>
      <c r="F23" s="105"/>
      <c r="G23" s="106"/>
      <c r="H23" s="5"/>
      <c r="I23" s="1"/>
    </row>
    <row r="24" spans="1:9" x14ac:dyDescent="0.25">
      <c r="A24" s="1"/>
      <c r="B24" s="1"/>
      <c r="C24" s="6" t="s">
        <v>9</v>
      </c>
      <c r="D24" s="104" t="s">
        <v>186</v>
      </c>
      <c r="E24" s="105"/>
      <c r="F24" s="105"/>
      <c r="G24" s="106"/>
      <c r="H24" s="5"/>
      <c r="I24" s="1"/>
    </row>
    <row r="25" spans="1:9" x14ac:dyDescent="0.25">
      <c r="A25" s="1"/>
      <c r="B25" s="1"/>
      <c r="C25" s="6" t="s">
        <v>248</v>
      </c>
      <c r="D25" s="104" t="s">
        <v>239</v>
      </c>
      <c r="E25" s="105"/>
      <c r="F25" s="105"/>
      <c r="G25" s="106"/>
      <c r="H25" s="1"/>
      <c r="I25" s="1"/>
    </row>
    <row r="26" spans="1:9" x14ac:dyDescent="0.25">
      <c r="A26" s="1"/>
      <c r="B26" s="1"/>
      <c r="C26" s="6" t="s">
        <v>249</v>
      </c>
      <c r="D26" s="104" t="s">
        <v>84</v>
      </c>
      <c r="E26" s="105"/>
      <c r="F26" s="105"/>
      <c r="G26" s="106"/>
      <c r="H26" s="1"/>
      <c r="I26" s="1"/>
    </row>
    <row r="27" spans="1:9" x14ac:dyDescent="0.25">
      <c r="A27" s="1"/>
      <c r="B27" s="1"/>
      <c r="C27" s="6" t="s">
        <v>250</v>
      </c>
      <c r="D27" s="104" t="s">
        <v>85</v>
      </c>
      <c r="E27" s="105"/>
      <c r="F27" s="105"/>
      <c r="G27" s="106"/>
      <c r="H27" s="1"/>
      <c r="I27" s="1"/>
    </row>
    <row r="28" spans="1:9" x14ac:dyDescent="0.25">
      <c r="A28" s="1"/>
      <c r="B28" s="1"/>
      <c r="C28" s="6" t="s">
        <v>15</v>
      </c>
      <c r="D28" s="104" t="s">
        <v>86</v>
      </c>
      <c r="E28" s="105"/>
      <c r="F28" s="105"/>
      <c r="G28" s="106"/>
      <c r="H28" s="1"/>
      <c r="I28" s="1"/>
    </row>
    <row r="29" spans="1:9" x14ac:dyDescent="0.25">
      <c r="A29" s="1"/>
      <c r="B29" s="1"/>
      <c r="C29" s="6" t="s">
        <v>37</v>
      </c>
      <c r="D29" s="104" t="s">
        <v>134</v>
      </c>
      <c r="E29" s="105"/>
      <c r="F29" s="105"/>
      <c r="G29" s="106"/>
      <c r="H29" s="1"/>
      <c r="I29" s="1"/>
    </row>
    <row r="30" spans="1:9" x14ac:dyDescent="0.25">
      <c r="A30" s="1"/>
      <c r="B30" s="1"/>
      <c r="C30" s="6" t="s">
        <v>38</v>
      </c>
      <c r="D30" s="104" t="s">
        <v>36</v>
      </c>
      <c r="E30" s="105"/>
      <c r="F30" s="105"/>
      <c r="G30" s="106"/>
      <c r="H30" s="1"/>
      <c r="I30" s="1"/>
    </row>
    <row r="31" spans="1:9" x14ac:dyDescent="0.25">
      <c r="A31" s="1"/>
      <c r="B31" s="1"/>
      <c r="C31" s="6" t="s">
        <v>251</v>
      </c>
      <c r="D31" s="115" t="s">
        <v>105</v>
      </c>
      <c r="E31" s="116"/>
      <c r="F31" s="116"/>
      <c r="G31" s="11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kruxl/Peqi9wyyQakGHw2Rqy8hLwa+hVuwRTsVa4l9r71HsjYHYqJ1rPFDrvIWeTKQNeDzy8DUow2muwzjYSjw==" saltValue="U1u5P0zHSpOVf0WQVU7Mb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8" t="s">
        <v>111</v>
      </c>
      <c r="C3" s="118"/>
      <c r="D3" s="118"/>
      <c r="E3" s="1"/>
      <c r="F3" s="1"/>
    </row>
    <row r="4" spans="1:6" ht="15" customHeight="1" x14ac:dyDescent="0.25">
      <c r="A4" s="1"/>
      <c r="B4" s="118"/>
      <c r="C4" s="118"/>
      <c r="D4" s="11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6" t="s">
        <v>200</v>
      </c>
      <c r="C8" s="127"/>
      <c r="D8" s="128"/>
      <c r="E8" s="1"/>
      <c r="F8" s="1"/>
    </row>
    <row r="9" spans="1:6" ht="15" customHeight="1" x14ac:dyDescent="0.25">
      <c r="A9" s="1"/>
      <c r="B9" s="27" t="s">
        <v>32</v>
      </c>
      <c r="C9" s="61" t="s">
        <v>242</v>
      </c>
      <c r="D9" s="11"/>
      <c r="E9" s="1"/>
      <c r="F9" s="1"/>
    </row>
    <row r="10" spans="1:6" x14ac:dyDescent="0.25">
      <c r="A10" s="1"/>
      <c r="B10" s="92" t="s">
        <v>268</v>
      </c>
      <c r="C10" s="9">
        <v>1867133.33</v>
      </c>
      <c r="D10" s="14" t="s">
        <v>3</v>
      </c>
      <c r="E10" s="1"/>
      <c r="F10" s="1"/>
    </row>
    <row r="11" spans="1:6" x14ac:dyDescent="0.25">
      <c r="A11" s="1"/>
      <c r="B11" s="92" t="s">
        <v>269</v>
      </c>
      <c r="C11" s="9">
        <v>140621</v>
      </c>
      <c r="D11" s="14" t="s">
        <v>3</v>
      </c>
      <c r="E11" s="1"/>
      <c r="F11" s="1"/>
    </row>
    <row r="12" spans="1:6" x14ac:dyDescent="0.25">
      <c r="A12" s="1"/>
      <c r="B12" s="92" t="s">
        <v>270</v>
      </c>
      <c r="C12" s="9">
        <v>475028.91</v>
      </c>
      <c r="D12" s="14" t="s">
        <v>3</v>
      </c>
      <c r="E12" s="1"/>
      <c r="F12" s="1"/>
    </row>
    <row r="13" spans="1:6" x14ac:dyDescent="0.25">
      <c r="A13" s="1"/>
      <c r="B13" s="92" t="s">
        <v>271</v>
      </c>
      <c r="C13" s="9">
        <v>384864</v>
      </c>
      <c r="D13" s="14" t="s">
        <v>3</v>
      </c>
      <c r="E13" s="1"/>
      <c r="F13" s="1"/>
    </row>
    <row r="14" spans="1:6" x14ac:dyDescent="0.25">
      <c r="A14" s="1"/>
      <c r="B14" s="92" t="s">
        <v>272</v>
      </c>
      <c r="C14" s="9">
        <v>489368.05</v>
      </c>
      <c r="D14" s="14" t="s">
        <v>3</v>
      </c>
      <c r="E14" s="1"/>
      <c r="F14" s="1"/>
    </row>
    <row r="15" spans="1:6" x14ac:dyDescent="0.25">
      <c r="A15" s="1"/>
      <c r="B15" s="33" t="s">
        <v>201</v>
      </c>
      <c r="C15" s="12">
        <f>SUM(C10:C14)</f>
        <v>3357015.29</v>
      </c>
      <c r="D15" s="13" t="s">
        <v>3</v>
      </c>
      <c r="E15" s="1"/>
      <c r="F15" s="1"/>
    </row>
    <row r="16" spans="1:6" x14ac:dyDescent="0.25">
      <c r="A16" s="1"/>
      <c r="B16" s="33" t="s">
        <v>202</v>
      </c>
      <c r="C16" s="12">
        <f>C15*(1+'Fane 15. Nøgletal'!C15)^2</f>
        <v>3600289.325545935</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6" t="s">
        <v>117</v>
      </c>
      <c r="C19" s="127"/>
      <c r="D19" s="128"/>
      <c r="E19" s="1"/>
      <c r="F19" s="1"/>
    </row>
    <row r="20" spans="1:6" x14ac:dyDescent="0.25">
      <c r="A20" s="1"/>
      <c r="B20" s="92" t="s">
        <v>99</v>
      </c>
      <c r="C20" s="9">
        <v>0</v>
      </c>
      <c r="D20" s="14" t="s">
        <v>3</v>
      </c>
      <c r="E20" s="1"/>
      <c r="F20" s="1"/>
    </row>
    <row r="21" spans="1:6" x14ac:dyDescent="0.25">
      <c r="A21" s="1"/>
      <c r="B21" s="92" t="s">
        <v>129</v>
      </c>
      <c r="C21" s="9">
        <v>0</v>
      </c>
      <c r="D21" s="14" t="s">
        <v>3</v>
      </c>
      <c r="E21" s="1"/>
      <c r="F21" s="1"/>
    </row>
    <row r="22" spans="1:6" x14ac:dyDescent="0.25">
      <c r="A22" s="1"/>
      <c r="B22" s="92" t="s">
        <v>155</v>
      </c>
      <c r="C22" s="9">
        <v>0</v>
      </c>
      <c r="D22" s="14" t="s">
        <v>3</v>
      </c>
      <c r="E22" s="1"/>
      <c r="F22" s="1"/>
    </row>
    <row r="23" spans="1:6" x14ac:dyDescent="0.25">
      <c r="A23" s="1"/>
      <c r="B23" s="34" t="s">
        <v>203</v>
      </c>
      <c r="C23" s="9">
        <v>0</v>
      </c>
      <c r="D23" s="41" t="s">
        <v>3</v>
      </c>
      <c r="E23" s="1"/>
      <c r="F23" s="1"/>
    </row>
    <row r="24" spans="1:6" x14ac:dyDescent="0.25">
      <c r="A24" s="1"/>
      <c r="B24" s="126"/>
      <c r="C24" s="127"/>
      <c r="D24" s="128"/>
      <c r="E24" s="1"/>
      <c r="F24" s="1"/>
    </row>
    <row r="25" spans="1:6" x14ac:dyDescent="0.25">
      <c r="A25" s="1"/>
      <c r="B25" s="1"/>
      <c r="C25" s="1"/>
      <c r="D25" s="1"/>
      <c r="E25" s="1"/>
      <c r="F25" s="1"/>
    </row>
    <row r="26" spans="1:6" x14ac:dyDescent="0.25">
      <c r="A26" s="1"/>
      <c r="B26" s="1"/>
      <c r="C26" s="1"/>
      <c r="D26" s="1"/>
      <c r="E26" s="1"/>
      <c r="F26" s="1"/>
    </row>
    <row r="27" spans="1:6" x14ac:dyDescent="0.25">
      <c r="A27" s="1"/>
      <c r="B27" s="126" t="s">
        <v>98</v>
      </c>
      <c r="C27" s="127"/>
      <c r="D27" s="128"/>
      <c r="E27" s="1"/>
      <c r="F27" s="1"/>
    </row>
    <row r="28" spans="1:6" x14ac:dyDescent="0.25">
      <c r="A28" s="1"/>
      <c r="B28" s="92" t="s">
        <v>99</v>
      </c>
      <c r="C28" s="9">
        <v>1534860</v>
      </c>
      <c r="D28" s="14" t="s">
        <v>3</v>
      </c>
      <c r="E28" s="1"/>
      <c r="F28" s="1"/>
    </row>
    <row r="29" spans="1:6" x14ac:dyDescent="0.25">
      <c r="A29" s="1"/>
      <c r="B29" s="92" t="s">
        <v>129</v>
      </c>
      <c r="C29" s="9">
        <v>0</v>
      </c>
      <c r="D29" s="14" t="s">
        <v>3</v>
      </c>
      <c r="E29" s="1"/>
      <c r="F29" s="1"/>
    </row>
    <row r="30" spans="1:6" x14ac:dyDescent="0.25">
      <c r="A30" s="1"/>
      <c r="B30" s="92" t="s">
        <v>155</v>
      </c>
      <c r="C30" s="9">
        <v>0</v>
      </c>
      <c r="D30" s="14" t="s">
        <v>3</v>
      </c>
      <c r="E30" s="1"/>
      <c r="F30" s="1"/>
    </row>
    <row r="31" spans="1:6" x14ac:dyDescent="0.25">
      <c r="A31" s="1"/>
      <c r="B31" s="34" t="s">
        <v>203</v>
      </c>
      <c r="C31" s="9">
        <v>0</v>
      </c>
      <c r="D31" s="41" t="s">
        <v>3</v>
      </c>
      <c r="E31" s="1"/>
      <c r="F31" s="1"/>
    </row>
    <row r="32" spans="1:6" x14ac:dyDescent="0.25">
      <c r="A32" s="1"/>
      <c r="B32" s="126"/>
      <c r="C32" s="127"/>
      <c r="D32" s="128"/>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row r="52" spans="1:6" x14ac:dyDescent="0.25">
      <c r="A52" s="52"/>
      <c r="B52" s="52"/>
      <c r="C52" s="52"/>
      <c r="D52" s="52"/>
      <c r="E52" s="52"/>
      <c r="F52" s="52"/>
    </row>
  </sheetData>
  <sheetProtection algorithmName="SHA-512" hashValue="/+DqCRCbF8JugJjEbsF7QYNyIsi1tEd0G2FIHZAMzYSfj8ve39H1Rg4cEJZ6JlRc5IqTjVrz13Du3SD3sVvNkg==" saltValue="XuLOYt8kGW2lAy0VLsx8G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4" t="s">
        <v>204</v>
      </c>
      <c r="C3" s="134"/>
      <c r="D3" s="134"/>
      <c r="E3" s="134"/>
      <c r="F3" s="134"/>
      <c r="G3" s="1"/>
    </row>
    <row r="4" spans="1:7" ht="15" customHeight="1" x14ac:dyDescent="0.25">
      <c r="A4" s="1"/>
      <c r="B4" s="134"/>
      <c r="C4" s="134"/>
      <c r="D4" s="134"/>
      <c r="E4" s="134"/>
      <c r="F4" s="134"/>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6" t="s">
        <v>178</v>
      </c>
      <c r="C8" s="127"/>
      <c r="D8" s="127"/>
      <c r="E8" s="127"/>
      <c r="F8" s="128"/>
      <c r="G8" s="1"/>
    </row>
    <row r="9" spans="1:7" x14ac:dyDescent="0.25">
      <c r="A9" s="1"/>
      <c r="B9" s="135" t="s">
        <v>205</v>
      </c>
      <c r="C9" s="136"/>
      <c r="D9" s="137"/>
      <c r="E9" s="9">
        <v>15560110.998177409</v>
      </c>
      <c r="F9" s="14" t="s">
        <v>3</v>
      </c>
      <c r="G9" s="1"/>
    </row>
    <row r="10" spans="1:7" x14ac:dyDescent="0.25">
      <c r="A10" s="1"/>
      <c r="B10" s="135" t="s">
        <v>265</v>
      </c>
      <c r="C10" s="136"/>
      <c r="D10" s="137"/>
      <c r="E10" s="9">
        <v>15560110.998177409</v>
      </c>
      <c r="F10" s="14" t="s">
        <v>3</v>
      </c>
      <c r="G10" s="1"/>
    </row>
    <row r="11" spans="1:7" x14ac:dyDescent="0.25">
      <c r="A11" s="1"/>
      <c r="B11" s="33"/>
      <c r="C11" s="28"/>
      <c r="D11" s="28"/>
      <c r="E11" s="28"/>
      <c r="F11" s="19"/>
      <c r="G11" s="1"/>
    </row>
    <row r="12" spans="1:7" ht="67.5" customHeight="1" x14ac:dyDescent="0.25">
      <c r="A12" s="1"/>
      <c r="B12" s="129" t="s">
        <v>266</v>
      </c>
      <c r="C12" s="130"/>
      <c r="D12" s="130"/>
      <c r="E12" s="130"/>
      <c r="F12" s="131"/>
      <c r="G12" s="1"/>
    </row>
    <row r="13" spans="1:7" ht="27" customHeight="1" x14ac:dyDescent="0.25">
      <c r="A13" s="1"/>
      <c r="B13" s="1"/>
      <c r="C13" s="1"/>
      <c r="D13" s="1"/>
      <c r="E13" s="1"/>
      <c r="F13" s="1"/>
      <c r="G13" s="1"/>
    </row>
    <row r="14" spans="1:7" ht="28.5" customHeight="1" x14ac:dyDescent="0.25">
      <c r="A14" s="1"/>
      <c r="B14" s="126" t="s">
        <v>179</v>
      </c>
      <c r="C14" s="127"/>
      <c r="D14" s="127"/>
      <c r="E14" s="127"/>
      <c r="F14" s="128"/>
      <c r="G14" s="1"/>
    </row>
    <row r="15" spans="1:7" x14ac:dyDescent="0.25">
      <c r="A15" s="1"/>
      <c r="B15" s="135" t="s">
        <v>287</v>
      </c>
      <c r="C15" s="136"/>
      <c r="D15" s="137"/>
      <c r="E15" s="9">
        <v>0</v>
      </c>
      <c r="F15" s="14" t="s">
        <v>3</v>
      </c>
      <c r="G15" s="1"/>
    </row>
    <row r="16" spans="1:7" x14ac:dyDescent="0.25">
      <c r="A16" s="1"/>
      <c r="B16" s="135" t="s">
        <v>288</v>
      </c>
      <c r="C16" s="136"/>
      <c r="D16" s="137"/>
      <c r="E16" s="9">
        <v>0</v>
      </c>
      <c r="F16" s="14" t="s">
        <v>3</v>
      </c>
      <c r="G16" s="1"/>
    </row>
    <row r="17" spans="1:7" x14ac:dyDescent="0.25">
      <c r="A17" s="1"/>
      <c r="B17" s="33"/>
      <c r="C17" s="28"/>
      <c r="D17" s="28"/>
      <c r="E17" s="28"/>
      <c r="F17" s="19"/>
      <c r="G17" s="1"/>
    </row>
    <row r="18" spans="1:7" ht="31.5" customHeight="1" x14ac:dyDescent="0.25">
      <c r="A18" s="1"/>
      <c r="B18" s="129" t="s">
        <v>180</v>
      </c>
      <c r="C18" s="130"/>
      <c r="D18" s="130"/>
      <c r="E18" s="130"/>
      <c r="F18" s="131"/>
      <c r="G18" s="1"/>
    </row>
    <row r="19" spans="1:7" ht="28.5" customHeight="1" x14ac:dyDescent="0.25">
      <c r="A19" s="1"/>
      <c r="B19" s="1"/>
      <c r="C19" s="1"/>
      <c r="D19" s="1"/>
      <c r="E19" s="1"/>
      <c r="F19" s="1"/>
      <c r="G19" s="1"/>
    </row>
    <row r="20" spans="1:7" ht="28.5" customHeight="1" x14ac:dyDescent="0.25">
      <c r="A20" s="1"/>
      <c r="B20" s="84" t="s">
        <v>206</v>
      </c>
      <c r="C20" s="85"/>
      <c r="D20" s="85"/>
      <c r="E20" s="85"/>
      <c r="F20" s="86"/>
      <c r="G20" s="1"/>
    </row>
    <row r="21" spans="1:7" x14ac:dyDescent="0.25">
      <c r="A21" s="1"/>
      <c r="B21" s="89" t="s">
        <v>207</v>
      </c>
      <c r="C21" s="90"/>
      <c r="D21" s="91"/>
      <c r="E21" s="9">
        <v>145727547.22733009</v>
      </c>
      <c r="F21" s="14" t="s">
        <v>3</v>
      </c>
      <c r="G21" s="1"/>
    </row>
    <row r="22" spans="1:7" x14ac:dyDescent="0.25">
      <c r="A22" s="1"/>
      <c r="B22" s="89" t="s">
        <v>208</v>
      </c>
      <c r="C22" s="90"/>
      <c r="D22" s="91"/>
      <c r="E22" s="9">
        <v>137760545</v>
      </c>
      <c r="F22" s="14" t="s">
        <v>3</v>
      </c>
      <c r="G22" s="1"/>
    </row>
    <row r="23" spans="1:7" x14ac:dyDescent="0.25">
      <c r="A23" s="1"/>
      <c r="B23" s="89" t="s">
        <v>33</v>
      </c>
      <c r="C23" s="90"/>
      <c r="D23" s="91"/>
      <c r="E23" s="9">
        <v>1066525</v>
      </c>
      <c r="F23" s="14" t="s">
        <v>3</v>
      </c>
      <c r="G23" s="1"/>
    </row>
    <row r="24" spans="1:7" x14ac:dyDescent="0.25">
      <c r="A24" s="1"/>
      <c r="B24" s="87" t="s">
        <v>274</v>
      </c>
      <c r="C24" s="88"/>
      <c r="D24" s="94"/>
      <c r="E24" s="76">
        <f>E21-(E22-E23)</f>
        <v>9033527.2273300886</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6" t="s">
        <v>289</v>
      </c>
      <c r="C27" s="127"/>
      <c r="D27" s="127"/>
      <c r="E27" s="127"/>
      <c r="F27" s="128"/>
      <c r="G27" s="1"/>
    </row>
    <row r="28" spans="1:7" x14ac:dyDescent="0.25">
      <c r="A28" s="1"/>
      <c r="B28" s="132" t="s">
        <v>290</v>
      </c>
      <c r="C28" s="133"/>
      <c r="D28" s="155"/>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6"/>
      <c r="C29" s="127"/>
      <c r="D29" s="127"/>
      <c r="E29" s="127"/>
      <c r="F29" s="128"/>
      <c r="G29" s="1"/>
    </row>
    <row r="30" spans="1:7" x14ac:dyDescent="0.25">
      <c r="A30" s="1"/>
      <c r="B30" s="1"/>
      <c r="C30" s="1"/>
      <c r="D30" s="1"/>
      <c r="E30" s="1"/>
      <c r="F30" s="1"/>
      <c r="G30" s="1"/>
    </row>
    <row r="31" spans="1:7" ht="28.5" customHeight="1" x14ac:dyDescent="0.25">
      <c r="A31" s="1"/>
      <c r="B31" s="126" t="s">
        <v>267</v>
      </c>
      <c r="C31" s="127"/>
      <c r="D31" s="127"/>
      <c r="E31" s="127"/>
      <c r="F31" s="128"/>
      <c r="G31" s="1"/>
    </row>
    <row r="32" spans="1:7" x14ac:dyDescent="0.25">
      <c r="A32" s="1"/>
      <c r="B32" s="148" t="s">
        <v>143</v>
      </c>
      <c r="C32" s="149"/>
      <c r="D32" s="150"/>
      <c r="E32" s="78">
        <f>IF(AND(E9&gt;0,(E9+E24)&gt;0),0,IF(AND(E9&gt;0,(E9+E24)&lt;0),(E9+E24),IF(AND(E9&lt;0,E24&lt;0),E24,0)))</f>
        <v>0</v>
      </c>
      <c r="F32" s="14" t="s">
        <v>3</v>
      </c>
      <c r="G32" s="1"/>
    </row>
    <row r="33" spans="1:7" x14ac:dyDescent="0.25">
      <c r="A33" s="1"/>
      <c r="B33" s="148" t="s">
        <v>102</v>
      </c>
      <c r="C33" s="149"/>
      <c r="D33" s="150"/>
      <c r="E33" s="9">
        <v>4</v>
      </c>
      <c r="F33" s="14" t="s">
        <v>20</v>
      </c>
      <c r="G33" s="1"/>
    </row>
    <row r="34" spans="1:7" x14ac:dyDescent="0.25">
      <c r="A34" s="1"/>
      <c r="B34" s="151" t="s">
        <v>144</v>
      </c>
      <c r="C34" s="151"/>
      <c r="D34" s="151"/>
      <c r="E34" s="77">
        <f>E32/E33</f>
        <v>0</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sSye6q6ky1ag1HidGyJ2V8r0aJKMNR9Qbaudyi7W22ncrkDTGeqkWOzgSp8pk7vNYgAnbgi52erVIh3/Xy3nSg==" saltValue="rGKiT0S8oWD6EUx3Ka63X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8" t="s">
        <v>252</v>
      </c>
      <c r="C3" s="118"/>
      <c r="D3" s="118"/>
      <c r="E3" s="118"/>
      <c r="F3" s="118"/>
      <c r="G3" s="118"/>
      <c r="H3" s="118"/>
      <c r="I3" s="1"/>
    </row>
    <row r="4" spans="1:9" ht="15" customHeight="1" x14ac:dyDescent="0.25">
      <c r="A4" s="1"/>
      <c r="B4" s="118"/>
      <c r="C4" s="118"/>
      <c r="D4" s="118"/>
      <c r="E4" s="118"/>
      <c r="F4" s="118"/>
      <c r="G4" s="118"/>
      <c r="H4" s="11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6" t="s">
        <v>264</v>
      </c>
      <c r="C8" s="127"/>
      <c r="D8" s="127"/>
      <c r="E8" s="127"/>
      <c r="F8" s="127"/>
      <c r="G8" s="127"/>
      <c r="H8" s="128"/>
      <c r="I8" s="1"/>
    </row>
    <row r="9" spans="1:9" ht="15" customHeight="1" x14ac:dyDescent="0.25">
      <c r="A9" s="1"/>
      <c r="B9" s="123" t="s">
        <v>253</v>
      </c>
      <c r="C9" s="124"/>
      <c r="D9" s="124"/>
      <c r="E9" s="124"/>
      <c r="F9" s="124"/>
      <c r="G9" s="124"/>
      <c r="H9" s="125"/>
      <c r="I9" s="1"/>
    </row>
    <row r="10" spans="1:9" x14ac:dyDescent="0.25">
      <c r="A10" s="1"/>
      <c r="B10" s="156" t="s">
        <v>276</v>
      </c>
      <c r="C10" s="157"/>
      <c r="D10" s="157"/>
      <c r="E10" s="157"/>
      <c r="F10" s="158"/>
      <c r="G10" s="9">
        <v>0</v>
      </c>
      <c r="H10" s="9" t="s">
        <v>3</v>
      </c>
      <c r="I10" s="1"/>
    </row>
    <row r="11" spans="1:9" x14ac:dyDescent="0.25">
      <c r="A11" s="1"/>
      <c r="B11" s="156" t="s">
        <v>277</v>
      </c>
      <c r="C11" s="157"/>
      <c r="D11" s="157"/>
      <c r="E11" s="157"/>
      <c r="F11" s="158"/>
      <c r="G11" s="9">
        <v>0</v>
      </c>
      <c r="H11" s="9" t="s">
        <v>3</v>
      </c>
      <c r="I11" s="1"/>
    </row>
    <row r="12" spans="1:9" x14ac:dyDescent="0.25">
      <c r="A12" s="1"/>
      <c r="B12" s="156" t="s">
        <v>278</v>
      </c>
      <c r="C12" s="157"/>
      <c r="D12" s="157"/>
      <c r="E12" s="157"/>
      <c r="F12" s="158"/>
      <c r="G12" s="9">
        <v>0</v>
      </c>
      <c r="H12" s="9" t="s">
        <v>3</v>
      </c>
      <c r="I12" s="1"/>
    </row>
    <row r="13" spans="1:9" x14ac:dyDescent="0.25">
      <c r="A13" s="1"/>
      <c r="B13" s="156" t="s">
        <v>279</v>
      </c>
      <c r="C13" s="157"/>
      <c r="D13" s="157"/>
      <c r="E13" s="157"/>
      <c r="F13" s="158"/>
      <c r="G13" s="9">
        <v>0</v>
      </c>
      <c r="H13" s="9" t="s">
        <v>3</v>
      </c>
      <c r="I13" s="1"/>
    </row>
    <row r="14" spans="1:9" x14ac:dyDescent="0.25">
      <c r="A14" s="1"/>
      <c r="B14" s="156" t="s">
        <v>280</v>
      </c>
      <c r="C14" s="157"/>
      <c r="D14" s="157"/>
      <c r="E14" s="157"/>
      <c r="F14" s="158"/>
      <c r="G14" s="9">
        <v>0</v>
      </c>
      <c r="H14" s="9" t="s">
        <v>3</v>
      </c>
      <c r="I14" s="1"/>
    </row>
    <row r="15" spans="1:9" x14ac:dyDescent="0.25">
      <c r="A15" s="1"/>
      <c r="B15" s="156" t="s">
        <v>281</v>
      </c>
      <c r="C15" s="157"/>
      <c r="D15" s="157"/>
      <c r="E15" s="157"/>
      <c r="F15" s="158"/>
      <c r="G15" s="9">
        <v>0</v>
      </c>
      <c r="H15" s="9" t="s">
        <v>3</v>
      </c>
      <c r="I15" s="1"/>
    </row>
    <row r="16" spans="1:9" x14ac:dyDescent="0.25">
      <c r="A16" s="1"/>
      <c r="B16" s="156" t="s">
        <v>282</v>
      </c>
      <c r="C16" s="157"/>
      <c r="D16" s="157"/>
      <c r="E16" s="157"/>
      <c r="F16" s="158"/>
      <c r="G16" s="9">
        <v>0</v>
      </c>
      <c r="H16" s="9" t="s">
        <v>3</v>
      </c>
      <c r="I16" s="1"/>
    </row>
    <row r="17" spans="1:9" x14ac:dyDescent="0.25">
      <c r="A17" s="1"/>
      <c r="B17" s="156" t="s">
        <v>283</v>
      </c>
      <c r="C17" s="157"/>
      <c r="D17" s="157"/>
      <c r="E17" s="157"/>
      <c r="F17" s="158"/>
      <c r="G17" s="9">
        <v>0</v>
      </c>
      <c r="H17" s="9" t="s">
        <v>3</v>
      </c>
      <c r="I17" s="1"/>
    </row>
    <row r="18" spans="1:9" x14ac:dyDescent="0.25">
      <c r="A18" s="1"/>
      <c r="B18" s="126" t="s">
        <v>254</v>
      </c>
      <c r="C18" s="127"/>
      <c r="D18" s="127"/>
      <c r="E18" s="127"/>
      <c r="F18" s="12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Il/7f0bFf1RyHhD+aQeDCccb1aQqzLQXHRH53mttaw92dRt3zmUjUv+LXp1RBdFc1qBlF/8p4oCl0HWzncbhaA==" saltValue="Ad5bKlYhtRDR8egblTfPI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4" t="s">
        <v>256</v>
      </c>
      <c r="C3" s="134"/>
      <c r="D3" s="134"/>
      <c r="E3" s="134"/>
      <c r="F3" s="134"/>
      <c r="G3" s="1"/>
    </row>
    <row r="4" spans="1:7" ht="1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6" t="s">
        <v>209</v>
      </c>
      <c r="C9" s="127"/>
      <c r="D9" s="127"/>
      <c r="E9" s="127"/>
      <c r="F9" s="128"/>
      <c r="G9" s="1"/>
    </row>
    <row r="10" spans="1:7" x14ac:dyDescent="0.25">
      <c r="A10" s="1"/>
      <c r="B10" s="129" t="s">
        <v>100</v>
      </c>
      <c r="C10" s="130"/>
      <c r="D10" s="131"/>
      <c r="E10" s="7">
        <v>0</v>
      </c>
      <c r="F10" s="8" t="s">
        <v>3</v>
      </c>
      <c r="G10" s="1"/>
    </row>
    <row r="11" spans="1:7" x14ac:dyDescent="0.25">
      <c r="A11" s="1"/>
      <c r="B11" s="135" t="s">
        <v>210</v>
      </c>
      <c r="C11" s="136"/>
      <c r="D11" s="137"/>
      <c r="E11" s="7">
        <v>1863490</v>
      </c>
      <c r="F11" s="8" t="s">
        <v>3</v>
      </c>
      <c r="G11" s="1"/>
    </row>
    <row r="12" spans="1:7" x14ac:dyDescent="0.25">
      <c r="A12" s="1"/>
      <c r="B12" s="132" t="s">
        <v>101</v>
      </c>
      <c r="C12" s="133"/>
      <c r="D12" s="155"/>
      <c r="E12" s="10">
        <f>E11-E10</f>
        <v>1863490</v>
      </c>
      <c r="F12" s="11" t="s">
        <v>3</v>
      </c>
      <c r="G12" s="1"/>
    </row>
    <row r="13" spans="1:7" x14ac:dyDescent="0.25">
      <c r="A13" s="1"/>
      <c r="B13" s="126" t="s">
        <v>94</v>
      </c>
      <c r="C13" s="127"/>
      <c r="D13" s="127"/>
      <c r="E13" s="127"/>
      <c r="F13" s="128"/>
      <c r="G13" s="1"/>
    </row>
    <row r="14" spans="1:7" x14ac:dyDescent="0.25">
      <c r="A14" s="1"/>
      <c r="B14" s="135" t="s">
        <v>211</v>
      </c>
      <c r="C14" s="136"/>
      <c r="D14" s="137"/>
      <c r="E14" s="9">
        <v>0</v>
      </c>
      <c r="F14" s="8" t="s">
        <v>3</v>
      </c>
      <c r="G14" s="1"/>
    </row>
    <row r="15" spans="1:7" x14ac:dyDescent="0.25">
      <c r="A15" s="1"/>
      <c r="B15" s="129" t="s">
        <v>212</v>
      </c>
      <c r="C15" s="130"/>
      <c r="D15" s="131"/>
      <c r="E15" s="9">
        <v>0</v>
      </c>
      <c r="F15" s="8" t="s">
        <v>3</v>
      </c>
      <c r="G15" s="1"/>
    </row>
    <row r="16" spans="1:7" x14ac:dyDescent="0.25">
      <c r="A16" s="1"/>
      <c r="B16" s="132" t="s">
        <v>101</v>
      </c>
      <c r="C16" s="133"/>
      <c r="D16" s="155"/>
      <c r="E16" s="10">
        <f>E15-E14</f>
        <v>0</v>
      </c>
      <c r="F16" s="11" t="s">
        <v>3</v>
      </c>
      <c r="G16" s="1"/>
    </row>
    <row r="17" spans="1:7" x14ac:dyDescent="0.25">
      <c r="A17" s="1"/>
      <c r="B17" s="33" t="s">
        <v>213</v>
      </c>
      <c r="C17" s="28"/>
      <c r="D17" s="28"/>
      <c r="E17" s="12">
        <f>E12+E16</f>
        <v>1863490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Ef92eaQ0800SyMVaSLge0Dx5jM3rBFjv8nZDBoDY7MmDtbhSuLR5mWS9FVNtb+XUd0OkP4PsiSOX9W6QHlHEg==" saltValue="NeHwusYxkkJ4h9pIqZ6fT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8" t="s">
        <v>257</v>
      </c>
      <c r="C3" s="118"/>
      <c r="D3" s="118"/>
      <c r="E3" s="118"/>
      <c r="F3" s="118"/>
      <c r="G3" s="118"/>
      <c r="H3" s="118"/>
      <c r="I3" s="118"/>
      <c r="J3" s="118"/>
      <c r="K3" s="118"/>
      <c r="L3" s="1"/>
    </row>
    <row r="4" spans="1:12" ht="15" customHeight="1" x14ac:dyDescent="0.25">
      <c r="A4" s="1"/>
      <c r="B4" s="118"/>
      <c r="C4" s="118"/>
      <c r="D4" s="118"/>
      <c r="E4" s="118"/>
      <c r="F4" s="118"/>
      <c r="G4" s="118"/>
      <c r="H4" s="118"/>
      <c r="I4" s="118"/>
      <c r="J4" s="118"/>
      <c r="K4" s="11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6" t="s">
        <v>221</v>
      </c>
      <c r="C8" s="127"/>
      <c r="D8" s="127"/>
      <c r="E8" s="127"/>
      <c r="F8" s="127"/>
      <c r="G8" s="127"/>
      <c r="H8" s="127"/>
      <c r="I8" s="127"/>
      <c r="J8" s="127"/>
      <c r="K8" s="128"/>
      <c r="L8" s="1"/>
    </row>
    <row r="9" spans="1:12" ht="39.75" customHeight="1" x14ac:dyDescent="0.25">
      <c r="A9" s="1"/>
      <c r="B9" s="18" t="s">
        <v>0</v>
      </c>
      <c r="C9" s="18" t="s">
        <v>1</v>
      </c>
      <c r="D9" s="159" t="s">
        <v>247</v>
      </c>
      <c r="E9" s="160"/>
      <c r="F9" s="159" t="s">
        <v>2</v>
      </c>
      <c r="G9" s="160"/>
      <c r="H9" s="159" t="s">
        <v>246</v>
      </c>
      <c r="I9" s="160"/>
      <c r="J9" s="159" t="s">
        <v>30</v>
      </c>
      <c r="K9" s="160"/>
      <c r="L9" s="1"/>
    </row>
    <row r="10" spans="1:12" x14ac:dyDescent="0.25">
      <c r="A10" s="1"/>
      <c r="B10" s="95" t="s">
        <v>273</v>
      </c>
      <c r="C10" s="42">
        <v>0</v>
      </c>
      <c r="D10" s="9">
        <v>0</v>
      </c>
      <c r="E10" s="14" t="s">
        <v>3</v>
      </c>
      <c r="F10" s="9">
        <f>IFERROR(D10/C10,0)</f>
        <v>0</v>
      </c>
      <c r="G10" s="14" t="s">
        <v>3</v>
      </c>
      <c r="H10" s="45">
        <v>0</v>
      </c>
      <c r="I10" s="14" t="s">
        <v>3</v>
      </c>
      <c r="J10" s="45">
        <v>0</v>
      </c>
      <c r="K10" s="14" t="s">
        <v>3</v>
      </c>
      <c r="L10" s="1"/>
    </row>
    <row r="11" spans="1:12" x14ac:dyDescent="0.25">
      <c r="A11" s="1"/>
      <c r="B11" s="84" t="s">
        <v>222</v>
      </c>
      <c r="C11" s="85"/>
      <c r="D11" s="86"/>
      <c r="E11" s="86"/>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K6nVR0xvHGhVtu0dFzChBvAfubJGZ6R3jWj3jxp43ZrhuNFE+44WZsnHfWu2EPx0ZYaVx2GSx6ZNlHcxrdusA==" saltValue="Jp2dxoNnYN4xEakjJZaDx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258</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ht="26.25" x14ac:dyDescent="0.25">
      <c r="A11" s="1"/>
      <c r="B11" s="96" t="s">
        <v>291</v>
      </c>
      <c r="C11" s="21">
        <v>0</v>
      </c>
      <c r="D11" s="14" t="s">
        <v>3</v>
      </c>
      <c r="E11" s="9">
        <v>2237543</v>
      </c>
      <c r="F11" s="14" t="s">
        <v>3</v>
      </c>
      <c r="G11" s="1"/>
    </row>
    <row r="12" spans="1:7" x14ac:dyDescent="0.25">
      <c r="A12" s="1"/>
      <c r="B12" s="24" t="s">
        <v>284</v>
      </c>
      <c r="C12" s="21">
        <v>0</v>
      </c>
      <c r="D12" s="14" t="s">
        <v>3</v>
      </c>
      <c r="E12" s="9">
        <v>100974</v>
      </c>
      <c r="F12" s="14" t="s">
        <v>3</v>
      </c>
      <c r="G12" s="1"/>
    </row>
    <row r="13" spans="1:7" x14ac:dyDescent="0.25">
      <c r="A13" s="1"/>
      <c r="B13" s="24" t="s">
        <v>285</v>
      </c>
      <c r="C13" s="21">
        <v>62985</v>
      </c>
      <c r="D13" s="14" t="s">
        <v>3</v>
      </c>
      <c r="E13" s="9">
        <v>362665</v>
      </c>
      <c r="F13" s="14" t="s">
        <v>3</v>
      </c>
      <c r="G13" s="1"/>
    </row>
    <row r="14" spans="1:7" x14ac:dyDescent="0.25">
      <c r="A14" s="1"/>
      <c r="B14" s="33" t="s">
        <v>156</v>
      </c>
      <c r="C14" s="12">
        <f>SUM(C10:C13)</f>
        <v>62985</v>
      </c>
      <c r="D14" s="13" t="s">
        <v>3</v>
      </c>
      <c r="E14" s="12">
        <f>SUM(E10:E13)</f>
        <v>2701182</v>
      </c>
      <c r="F14" s="13" t="s">
        <v>3</v>
      </c>
      <c r="G14" s="1"/>
    </row>
    <row r="15" spans="1:7" x14ac:dyDescent="0.25">
      <c r="A15" s="1"/>
      <c r="B15" s="33" t="s">
        <v>214</v>
      </c>
      <c r="C15" s="12">
        <f>C14*(1+'Fane 15. Nøgletal'!C15)</f>
        <v>65227.266000000003</v>
      </c>
      <c r="D15" s="13" t="s">
        <v>3</v>
      </c>
      <c r="E15" s="12">
        <f>E14*(1+'Fane 15. Nøgletal'!C15)</f>
        <v>2797344.0792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ZqKPz8+FXMtRgJnoOrc4HYd2Yq48CJU5tnNsAZLlmWY7nhpPskzOAj9d4XYPEh6ScoRQ9nSZBeB8sBSUPr3ug==" saltValue="/KyGiN/JxlEjnyBps/Od1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259</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97</v>
      </c>
      <c r="C8" s="127"/>
      <c r="D8" s="127"/>
      <c r="E8" s="127"/>
      <c r="F8" s="128"/>
      <c r="G8" s="1"/>
    </row>
    <row r="9" spans="1:7" x14ac:dyDescent="0.25">
      <c r="A9" s="1"/>
      <c r="B9" s="82" t="s">
        <v>17</v>
      </c>
      <c r="C9" s="82" t="s">
        <v>11</v>
      </c>
      <c r="D9" s="83"/>
      <c r="E9" s="82" t="s">
        <v>31</v>
      </c>
      <c r="F9" s="32"/>
      <c r="G9" s="1"/>
    </row>
    <row r="10" spans="1:7" x14ac:dyDescent="0.25">
      <c r="A10" s="1"/>
      <c r="B10" s="24" t="s">
        <v>286</v>
      </c>
      <c r="C10" s="21">
        <v>0</v>
      </c>
      <c r="D10" s="14" t="s">
        <v>3</v>
      </c>
      <c r="E10" s="9">
        <v>0</v>
      </c>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1"/>
      <c r="C14" s="161"/>
      <c r="D14" s="161"/>
      <c r="E14" s="161"/>
      <c r="F14" s="161"/>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1"/>
      <c r="C21" s="161"/>
      <c r="D21" s="161"/>
      <c r="E21" s="161"/>
      <c r="F21" s="161"/>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1"/>
      <c r="C28" s="161"/>
      <c r="D28" s="161"/>
      <c r="E28" s="161"/>
      <c r="F28" s="161"/>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RWqb76/fUj6rDhUSv4izoyi/cNyo7kV6PLjN63rF9YPf4ryim5EQibncghTKHAT5A6diiC69jDlspJN+qPp1g==" saltValue="pNyYNBf899ntHtwmIIOAB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260</v>
      </c>
      <c r="C3" s="134"/>
      <c r="D3" s="134"/>
      <c r="E3" s="134"/>
      <c r="F3" s="134"/>
      <c r="G3" s="1"/>
    </row>
    <row r="4" spans="1:7" ht="15" customHeight="1" x14ac:dyDescent="0.25">
      <c r="A4" s="1"/>
      <c r="B4" s="134"/>
      <c r="C4" s="134"/>
      <c r="D4" s="134"/>
      <c r="E4" s="134"/>
      <c r="F4" s="134"/>
      <c r="G4" s="1"/>
    </row>
    <row r="5" spans="1:7" x14ac:dyDescent="0.25">
      <c r="A5" s="1"/>
      <c r="B5" s="134"/>
      <c r="C5" s="134"/>
      <c r="D5" s="134"/>
      <c r="E5" s="134"/>
      <c r="F5" s="13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6" t="s">
        <v>91</v>
      </c>
      <c r="C9" s="127"/>
      <c r="D9" s="127"/>
      <c r="E9" s="127"/>
      <c r="F9" s="128"/>
      <c r="G9" s="1"/>
    </row>
    <row r="10" spans="1:7" x14ac:dyDescent="0.25">
      <c r="A10" s="1"/>
      <c r="B10" s="156" t="s">
        <v>226</v>
      </c>
      <c r="C10" s="157"/>
      <c r="D10" s="158"/>
      <c r="E10" s="9">
        <v>474388.4831190051</v>
      </c>
      <c r="F10" s="14" t="s">
        <v>3</v>
      </c>
      <c r="G10" s="1"/>
    </row>
    <row r="11" spans="1:7" x14ac:dyDescent="0.25">
      <c r="A11" s="1"/>
      <c r="B11" s="120" t="s">
        <v>10</v>
      </c>
      <c r="C11" s="121"/>
      <c r="D11" s="122"/>
      <c r="E11" s="9">
        <f>-E10*'Fane 5. Individuelt eff. krav'!G9</f>
        <v>-5025.3912818300068</v>
      </c>
      <c r="F11" s="14" t="s">
        <v>3</v>
      </c>
      <c r="G11" s="1"/>
    </row>
    <row r="12" spans="1:7" x14ac:dyDescent="0.25">
      <c r="A12" s="1"/>
      <c r="B12" s="120" t="s">
        <v>24</v>
      </c>
      <c r="C12" s="121"/>
      <c r="D12" s="122"/>
      <c r="E12" s="9">
        <f>-E10*'Fane 15. Nøgletal'!C31</f>
        <v>-9487.7696623801021</v>
      </c>
      <c r="F12" s="14" t="s">
        <v>3</v>
      </c>
      <c r="G12" s="1"/>
    </row>
    <row r="13" spans="1:7" x14ac:dyDescent="0.25">
      <c r="A13" s="1"/>
      <c r="B13" s="126" t="s">
        <v>92</v>
      </c>
      <c r="C13" s="127"/>
      <c r="D13" s="128"/>
      <c r="E13" s="12">
        <f>SUM(E10:E12)*(1+'Fane 15. Nøgletal'!C15)^2</f>
        <v>493201.27270195185</v>
      </c>
      <c r="F13" s="13" t="s">
        <v>3</v>
      </c>
      <c r="G13" s="1"/>
    </row>
    <row r="14" spans="1:7" x14ac:dyDescent="0.25">
      <c r="A14" s="1"/>
      <c r="B14" s="1"/>
      <c r="C14" s="1"/>
      <c r="D14" s="1"/>
      <c r="E14" s="1"/>
      <c r="F14" s="1"/>
      <c r="G14" s="1"/>
    </row>
    <row r="15" spans="1:7" ht="15" customHeight="1" x14ac:dyDescent="0.25">
      <c r="A15" s="1"/>
      <c r="B15" s="126" t="s">
        <v>130</v>
      </c>
      <c r="C15" s="127"/>
      <c r="D15" s="127"/>
      <c r="E15" s="127"/>
      <c r="F15" s="128"/>
      <c r="G15" s="1"/>
    </row>
    <row r="16" spans="1:7" x14ac:dyDescent="0.25">
      <c r="A16" s="1"/>
      <c r="B16" s="156" t="s">
        <v>226</v>
      </c>
      <c r="C16" s="157"/>
      <c r="D16" s="158"/>
      <c r="E16" s="9">
        <v>474388.4831190051</v>
      </c>
      <c r="F16" s="14" t="s">
        <v>3</v>
      </c>
      <c r="G16" s="1"/>
    </row>
    <row r="17" spans="1:7" x14ac:dyDescent="0.25">
      <c r="A17" s="1"/>
      <c r="B17" s="120" t="s">
        <v>10</v>
      </c>
      <c r="C17" s="121"/>
      <c r="D17" s="122"/>
      <c r="E17" s="9">
        <f>-E16*'Fane 5. Individuelt eff. krav'!G9</f>
        <v>-5025.3912818300068</v>
      </c>
      <c r="F17" s="14" t="s">
        <v>3</v>
      </c>
      <c r="G17" s="1"/>
    </row>
    <row r="18" spans="1:7" x14ac:dyDescent="0.25">
      <c r="A18" s="1"/>
      <c r="B18" s="120" t="s">
        <v>24</v>
      </c>
      <c r="C18" s="121"/>
      <c r="D18" s="122"/>
      <c r="E18" s="9">
        <f>-E16*'Fane 15. Nøgletal'!C31</f>
        <v>-9487.7696623801021</v>
      </c>
      <c r="F18" s="14" t="s">
        <v>3</v>
      </c>
      <c r="G18" s="1"/>
    </row>
    <row r="19" spans="1:7" x14ac:dyDescent="0.25">
      <c r="A19" s="1"/>
      <c r="B19" s="126" t="s">
        <v>131</v>
      </c>
      <c r="C19" s="127"/>
      <c r="D19" s="128"/>
      <c r="E19" s="12">
        <f>SUM(E16:E18)*(1+'Fane 15. Nøgletal'!C15)^3</f>
        <v>510759.23801014142</v>
      </c>
      <c r="F19" s="13" t="s">
        <v>3</v>
      </c>
      <c r="G19" s="1"/>
    </row>
    <row r="20" spans="1:7" x14ac:dyDescent="0.25">
      <c r="A20" s="1"/>
      <c r="B20" s="1"/>
      <c r="C20" s="1"/>
      <c r="D20" s="1"/>
      <c r="E20" s="1"/>
      <c r="F20" s="1"/>
      <c r="G20" s="1"/>
    </row>
    <row r="21" spans="1:7" ht="15" customHeight="1" x14ac:dyDescent="0.25">
      <c r="A21" s="1"/>
      <c r="B21" s="126" t="s">
        <v>157</v>
      </c>
      <c r="C21" s="127"/>
      <c r="D21" s="127"/>
      <c r="E21" s="127"/>
      <c r="F21" s="128"/>
      <c r="G21" s="1"/>
    </row>
    <row r="22" spans="1:7" x14ac:dyDescent="0.25">
      <c r="A22" s="1"/>
      <c r="B22" s="156" t="s">
        <v>226</v>
      </c>
      <c r="C22" s="157"/>
      <c r="D22" s="158"/>
      <c r="E22" s="9">
        <v>474388.4831190051</v>
      </c>
      <c r="F22" s="14" t="s">
        <v>3</v>
      </c>
      <c r="G22" s="1"/>
    </row>
    <row r="23" spans="1:7" x14ac:dyDescent="0.25">
      <c r="A23" s="1"/>
      <c r="B23" s="120" t="s">
        <v>10</v>
      </c>
      <c r="C23" s="121"/>
      <c r="D23" s="122"/>
      <c r="E23" s="9">
        <f>-E22*'Fane 5. Individuelt eff. krav'!G9</f>
        <v>-5025.3912818300068</v>
      </c>
      <c r="F23" s="14" t="s">
        <v>3</v>
      </c>
      <c r="G23" s="1"/>
    </row>
    <row r="24" spans="1:7" x14ac:dyDescent="0.25">
      <c r="A24" s="1"/>
      <c r="B24" s="120" t="s">
        <v>24</v>
      </c>
      <c r="C24" s="121"/>
      <c r="D24" s="122"/>
      <c r="E24" s="9">
        <f>-E22*'Fane 15. Nøgletal'!C31</f>
        <v>-9487.7696623801021</v>
      </c>
      <c r="F24" s="14" t="s">
        <v>3</v>
      </c>
      <c r="G24" s="1"/>
    </row>
    <row r="25" spans="1:7" x14ac:dyDescent="0.25">
      <c r="A25" s="1"/>
      <c r="B25" s="126" t="s">
        <v>158</v>
      </c>
      <c r="C25" s="127"/>
      <c r="D25" s="128"/>
      <c r="E25" s="12">
        <f>SUM(E22:E24)*(1+'Fane 15. Nøgletal'!C15)^4</f>
        <v>528942.26688330248</v>
      </c>
      <c r="F25" s="13" t="s">
        <v>3</v>
      </c>
      <c r="G25" s="1"/>
    </row>
    <row r="26" spans="1:7" x14ac:dyDescent="0.25">
      <c r="A26" s="1"/>
      <c r="B26" s="1"/>
      <c r="C26" s="1"/>
      <c r="D26" s="1"/>
      <c r="E26" s="1"/>
      <c r="F26" s="1"/>
      <c r="G26" s="1"/>
    </row>
    <row r="27" spans="1:7" ht="15" customHeight="1" x14ac:dyDescent="0.25">
      <c r="A27" s="1"/>
      <c r="B27" s="126" t="s">
        <v>215</v>
      </c>
      <c r="C27" s="127"/>
      <c r="D27" s="127"/>
      <c r="E27" s="127"/>
      <c r="F27" s="128"/>
      <c r="G27" s="1"/>
    </row>
    <row r="28" spans="1:7" ht="14.25" customHeight="1" x14ac:dyDescent="0.25">
      <c r="A28" s="1"/>
      <c r="B28" s="156" t="s">
        <v>226</v>
      </c>
      <c r="C28" s="157"/>
      <c r="D28" s="158"/>
      <c r="E28" s="9">
        <v>474388.4831190051</v>
      </c>
      <c r="F28" s="14" t="s">
        <v>3</v>
      </c>
      <c r="G28" s="1"/>
    </row>
    <row r="29" spans="1:7" x14ac:dyDescent="0.25">
      <c r="A29" s="1"/>
      <c r="B29" s="120" t="s">
        <v>10</v>
      </c>
      <c r="C29" s="121"/>
      <c r="D29" s="122"/>
      <c r="E29" s="9">
        <f>-E28*'Fane 5. Individuelt eff. krav'!G9</f>
        <v>-5025.3912818300068</v>
      </c>
      <c r="F29" s="14" t="s">
        <v>3</v>
      </c>
      <c r="G29" s="1"/>
    </row>
    <row r="30" spans="1:7" x14ac:dyDescent="0.25">
      <c r="A30" s="1"/>
      <c r="B30" s="120" t="s">
        <v>24</v>
      </c>
      <c r="C30" s="121"/>
      <c r="D30" s="122"/>
      <c r="E30" s="9">
        <f>-E28*'Fane 15. Nøgletal'!C31</f>
        <v>-9487.7696623801021</v>
      </c>
      <c r="F30" s="14" t="s">
        <v>3</v>
      </c>
      <c r="G30" s="1"/>
    </row>
    <row r="31" spans="1:7" x14ac:dyDescent="0.25">
      <c r="A31" s="1"/>
      <c r="B31" s="126" t="s">
        <v>216</v>
      </c>
      <c r="C31" s="127"/>
      <c r="D31" s="128"/>
      <c r="E31" s="12">
        <f>SUM(E28:E30)*(1+'Fane 15. Nøgletal'!C15)^5</f>
        <v>547772.61158434802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WP/HbBJcCmV34eq87I/pdkLyOvvMActYwwFLD5AkT0GkYo5uiHqMp+p5u2Lbp4juMXCl8tf/ChD1jfPWAvCDA==" saltValue="YWJeRedIY4iQjfyLJmCJ5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261</v>
      </c>
      <c r="C3" s="134"/>
      <c r="D3" s="134"/>
      <c r="E3" s="134"/>
      <c r="F3" s="134"/>
      <c r="G3" s="1"/>
    </row>
    <row r="4" spans="1:7" ht="25.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132</v>
      </c>
      <c r="C8" s="127"/>
      <c r="D8" s="127"/>
      <c r="E8" s="127"/>
      <c r="F8" s="128"/>
      <c r="G8" s="1"/>
    </row>
    <row r="9" spans="1:7" ht="15" customHeight="1" x14ac:dyDescent="0.25">
      <c r="A9" s="1"/>
      <c r="B9" s="31" t="s">
        <v>133</v>
      </c>
      <c r="C9" s="31" t="s">
        <v>11</v>
      </c>
      <c r="D9" s="32"/>
      <c r="E9" s="31" t="s">
        <v>31</v>
      </c>
      <c r="F9" s="32"/>
      <c r="G9" s="1"/>
    </row>
    <row r="10" spans="1:7" x14ac:dyDescent="0.25">
      <c r="A10" s="1"/>
      <c r="B10" s="24"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6Mg2W92YKD+LLugQnZM294X7qvj8oYfvKFr7nJQPQiySkveggMtphXIeq5uK5W1yY7l5StKGMHirS20U6m8ww==" saltValue="x0bEPU9nZyG8e45JPJhF6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262</v>
      </c>
      <c r="C3" s="134"/>
      <c r="D3" s="134"/>
      <c r="E3" s="134"/>
      <c r="F3" s="134"/>
      <c r="G3" s="1"/>
    </row>
    <row r="4" spans="1:7" ht="25.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6" t="s">
        <v>93</v>
      </c>
      <c r="C9" s="127"/>
      <c r="D9" s="127"/>
      <c r="E9" s="127"/>
      <c r="F9" s="128"/>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1"/>
      <c r="C15" s="161"/>
      <c r="D15" s="161"/>
      <c r="E15" s="161"/>
      <c r="F15" s="161"/>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1"/>
      <c r="C21" s="161"/>
      <c r="D21" s="161"/>
      <c r="E21" s="161"/>
      <c r="F21" s="161"/>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1"/>
      <c r="C27" s="161"/>
      <c r="D27" s="161"/>
      <c r="E27" s="161"/>
      <c r="F27" s="161"/>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WuVckx3APQT19w02PZ0IxZDCwSTUxm+LYImERWUd94FAH87e7hr0qFhtwdFCWt3iTs/u0wIt4pvws4gL9icxg==" saltValue="o4GIxAMoGCbSWIYeQPp67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182</v>
      </c>
      <c r="C3" s="118"/>
      <c r="D3" s="118"/>
      <c r="E3" s="1"/>
    </row>
    <row r="4" spans="1:5" ht="15" customHeight="1" x14ac:dyDescent="0.25">
      <c r="A4" s="1"/>
      <c r="B4" s="118"/>
      <c r="C4" s="118"/>
      <c r="D4" s="11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140034649.13832152</v>
      </c>
      <c r="D9" s="8" t="s">
        <v>3</v>
      </c>
      <c r="E9" s="1"/>
    </row>
    <row r="10" spans="1:5" ht="17.25" customHeight="1" x14ac:dyDescent="0.25">
      <c r="A10" s="1"/>
      <c r="B10" s="81" t="s">
        <v>39</v>
      </c>
      <c r="C10" s="7">
        <f>'Fane 11.1. Varige tillæg'!C15</f>
        <v>65227.266000000003</v>
      </c>
      <c r="D10" s="8" t="s">
        <v>3</v>
      </c>
      <c r="E10" s="1"/>
    </row>
    <row r="11" spans="1:5" ht="17.25" customHeight="1" x14ac:dyDescent="0.25">
      <c r="A11" s="1"/>
      <c r="B11" s="81" t="s">
        <v>40</v>
      </c>
      <c r="C11" s="9">
        <f>'Fane 11.1. Varige tillæg'!E15</f>
        <v>2797344.0792</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5">
        <f>SUM(C9)*'Fane 15. Nøgletal'!C14+SUM(C10:C15)*'Fane 15. Nøgletal'!C15</f>
        <v>564021.88204558101</v>
      </c>
      <c r="D16" s="8" t="s">
        <v>3</v>
      </c>
      <c r="E16" s="1"/>
    </row>
    <row r="17" spans="1:5" ht="17.25" customHeight="1" x14ac:dyDescent="0.25">
      <c r="A17" s="1"/>
      <c r="B17" s="81" t="s">
        <v>10</v>
      </c>
      <c r="C17" s="45">
        <f>-SUM(C9,C10:C16)*'Fane 5. Individuelt eff. krav'!G9</f>
        <v>-1519743.6327381607</v>
      </c>
      <c r="D17" s="8" t="s">
        <v>3</v>
      </c>
      <c r="E17" s="1"/>
    </row>
    <row r="18" spans="1:5" ht="17.25" customHeight="1" x14ac:dyDescent="0.25">
      <c r="A18" s="1"/>
      <c r="B18" s="81" t="s">
        <v>24</v>
      </c>
      <c r="C18" s="45">
        <f>-'Fane 4.1. Gen. krav - drift'!G45</f>
        <v>-860295.18659733061</v>
      </c>
      <c r="D18" s="8" t="s">
        <v>3</v>
      </c>
      <c r="E18" s="1"/>
    </row>
    <row r="19" spans="1:5" ht="17.25" customHeight="1" x14ac:dyDescent="0.25">
      <c r="A19" s="1"/>
      <c r="B19" s="81" t="s">
        <v>25</v>
      </c>
      <c r="C19" s="45">
        <f>-'Fane 4.2. Gen. krav - anlæg'!G43</f>
        <v>-1671418.6225943984</v>
      </c>
      <c r="D19" s="8" t="s">
        <v>3</v>
      </c>
      <c r="E19" s="51"/>
    </row>
    <row r="20" spans="1:5" ht="17.25" customHeight="1" x14ac:dyDescent="0.25">
      <c r="A20" s="1"/>
      <c r="B20" s="87" t="s">
        <v>21</v>
      </c>
      <c r="C20" s="10">
        <f>SUM(C9:C19)</f>
        <v>139409784.92363721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5135149.325545935</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493201.27270195185</v>
      </c>
      <c r="D24" s="11" t="s">
        <v>3</v>
      </c>
      <c r="E24" s="1"/>
    </row>
    <row r="25" spans="1:5" ht="15" customHeight="1" x14ac:dyDescent="0.25">
      <c r="A25" s="1"/>
      <c r="B25" s="48" t="s">
        <v>85</v>
      </c>
      <c r="C25" s="46"/>
      <c r="D25" s="47"/>
      <c r="E25" s="1"/>
    </row>
    <row r="26" spans="1:5" ht="15" customHeight="1" x14ac:dyDescent="0.25">
      <c r="A26" s="1"/>
      <c r="B26" s="81" t="s">
        <v>233</v>
      </c>
      <c r="C26" s="9">
        <f>'Fane 11.2. Engangstillæg'!C12</f>
        <v>0</v>
      </c>
      <c r="D26" s="8" t="s">
        <v>3</v>
      </c>
      <c r="E26" s="1"/>
    </row>
    <row r="27" spans="1:5" ht="15" customHeight="1" x14ac:dyDescent="0.25">
      <c r="A27" s="1"/>
      <c r="B27" s="81" t="s">
        <v>82</v>
      </c>
      <c r="C27" s="9">
        <f>'Fane 11.2. Engangstillæg'!E12</f>
        <v>0</v>
      </c>
      <c r="D27" s="8" t="s">
        <v>3</v>
      </c>
      <c r="E27" s="1"/>
    </row>
    <row r="28" spans="1:5" ht="15" customHeight="1" x14ac:dyDescent="0.25">
      <c r="A28" s="1"/>
      <c r="B28" s="81" t="s">
        <v>240</v>
      </c>
      <c r="C28" s="9">
        <f>-C26*('Fane 15. Nøgletal'!C31+'Fane 5. Individuelt eff. krav'!G9)</f>
        <v>0</v>
      </c>
      <c r="D28" s="8" t="s">
        <v>3</v>
      </c>
      <c r="E28" s="1"/>
    </row>
    <row r="29" spans="1:5" ht="15" customHeight="1" x14ac:dyDescent="0.25">
      <c r="A29" s="1"/>
      <c r="B29" s="81"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1863490</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146901625.5218851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cAzIs6TfxidS6MOMNEtCKUqvNgtgGqkMgDm7qu54t3lcuBd/0ruq+4KvpvS3yJd/uW5D1PzrQqtinW80cO48A==" saltValue="qVWxXaDgk8VOFtDMYFne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4" t="s">
        <v>263</v>
      </c>
      <c r="C3" s="134"/>
      <c r="D3" s="1"/>
    </row>
    <row r="4" spans="1:4" ht="25.5" customHeight="1" x14ac:dyDescent="0.25">
      <c r="A4" s="1"/>
      <c r="B4" s="134"/>
      <c r="C4" s="13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JKKkCtJoffrc3yf0YTPlbCldF3FqIJPx2/Fih7HYLJinPUfIHQw5OgK2fx4hHNgw0VGk9NMgqKLq9BI6sKXRug==" saltValue="NvcfbWj6IeourV2qgo9ft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187</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139409784.92363721</v>
      </c>
      <c r="D9" s="8" t="s">
        <v>3</v>
      </c>
      <c r="E9" s="1"/>
    </row>
    <row r="10" spans="1:5" ht="15" customHeight="1" x14ac:dyDescent="0.25">
      <c r="A10" s="1"/>
      <c r="B10" s="26" t="s">
        <v>19</v>
      </c>
      <c r="C10" s="7">
        <f>SUM(C9:C9)*'Fane 15. Nøgletal'!C15</f>
        <v>4962988.3432814851</v>
      </c>
      <c r="D10" s="8" t="s">
        <v>3</v>
      </c>
      <c r="E10" s="1"/>
    </row>
    <row r="11" spans="1:5" ht="15" customHeight="1" x14ac:dyDescent="0.25">
      <c r="A11" s="1"/>
      <c r="B11" s="26" t="s">
        <v>10</v>
      </c>
      <c r="C11" s="9">
        <f>-SUM(C9:C10)*'Fane 5. Individuelt eff. krav'!G9</f>
        <v>-1529399.8524984997</v>
      </c>
      <c r="D11" s="8" t="s">
        <v>3</v>
      </c>
      <c r="E11" s="1"/>
    </row>
    <row r="12" spans="1:5" ht="15" customHeight="1" x14ac:dyDescent="0.25">
      <c r="A12" s="1"/>
      <c r="B12" s="26" t="s">
        <v>24</v>
      </c>
      <c r="C12" s="9">
        <f>-'Fane 4.1. Gen. krav - drift'!G53</f>
        <v>-873103.26133539167</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141970270.15308478</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3728459.6255353703</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driftsomk.'!E19</f>
        <v>510759.23801014142</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146209489.01663029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us38c+CNTZYajOS1jc+9P+xhROrK84qQwOZsgEhIsvwhiWH6e0N0uDpSuJhHFaQhl689yt3Cbk7LnJhHjN3Ww==" saltValue="0RuDhod+7cWtn3qntwNz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188</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141970270.15308478</v>
      </c>
      <c r="D9" s="8" t="s">
        <v>3</v>
      </c>
      <c r="E9" s="1"/>
    </row>
    <row r="10" spans="1:5" ht="15" customHeight="1" x14ac:dyDescent="0.25">
      <c r="A10" s="1"/>
      <c r="B10" s="26" t="s">
        <v>19</v>
      </c>
      <c r="C10" s="7">
        <f>SUM(C9:C9)*'Fane 15. Nøgletal'!C15</f>
        <v>5054141.6174498182</v>
      </c>
      <c r="D10" s="8" t="s">
        <v>3</v>
      </c>
      <c r="E10" s="1"/>
    </row>
    <row r="11" spans="1:5" ht="15" customHeight="1" x14ac:dyDescent="0.25">
      <c r="A11" s="1"/>
      <c r="B11" s="26" t="s">
        <v>10</v>
      </c>
      <c r="C11" s="9">
        <f>-SUM(C9:C10)*'Fane 5. Individuelt eff. krav'!G9</f>
        <v>-1557489.7439963364</v>
      </c>
      <c r="D11" s="8" t="s">
        <v>3</v>
      </c>
      <c r="E11" s="1"/>
    </row>
    <row r="12" spans="1:5" ht="15" customHeight="1" x14ac:dyDescent="0.25">
      <c r="A12" s="1"/>
      <c r="B12" s="26" t="s">
        <v>24</v>
      </c>
      <c r="C12" s="9">
        <f>-'Fane 4.1. Gen. krav - drift'!G58</f>
        <v>-886102.02269015298</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144580820.00384814</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3861192.7882044297</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528942.26688330248</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148970955.05893588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F8YOynt4cw1d9lcCeeHwwDCd0IWPMW/72jWG6/pisCw+bYsH1wwvcVBgnRrxtyu+HKwvO5wAeJ/7oYs2mpXHw==" saltValue="YuUFDzsb0Rn29u5+D65TE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189</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144580820.00384814</v>
      </c>
      <c r="D9" s="8" t="s">
        <v>3</v>
      </c>
      <c r="E9" s="1"/>
    </row>
    <row r="10" spans="1:5" ht="15" customHeight="1" x14ac:dyDescent="0.25">
      <c r="A10" s="1"/>
      <c r="B10" s="26" t="s">
        <v>19</v>
      </c>
      <c r="C10" s="7">
        <f>SUM(C9:C9)*'Fane 15. Nøgletal'!C15</f>
        <v>5147077.1921369936</v>
      </c>
      <c r="D10" s="8" t="s">
        <v>3</v>
      </c>
      <c r="E10" s="1"/>
    </row>
    <row r="11" spans="1:5" ht="15" customHeight="1" x14ac:dyDescent="0.25">
      <c r="A11" s="1"/>
      <c r="B11" s="26" t="s">
        <v>10</v>
      </c>
      <c r="C11" s="9">
        <f>-SUM(C9:C10)*'Fane 5. Individuelt eff. krav'!G9</f>
        <v>-1586128.8711485979</v>
      </c>
      <c r="D11" s="8" t="s">
        <v>3</v>
      </c>
      <c r="E11" s="1"/>
    </row>
    <row r="12" spans="1:5" ht="15" customHeight="1" x14ac:dyDescent="0.25">
      <c r="A12" s="1"/>
      <c r="B12" s="26" t="s">
        <v>24</v>
      </c>
      <c r="C12" s="9">
        <f>-'Fane 4.1. Gen. krav - drift'!G63</f>
        <v>-899294.30960396398</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147242474.01523259</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3998651.251464508</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547772.61158434802</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151788897.87828144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j00j/TuzsCpidFOTLj6ZPX8LCNbknUoUWJx1TN7QraxbowfGxQd5bOJHWgOrzEvIUpONH28thA86DRC0fd/CAA==" saltValue="gWuvkatMt+NLXSRt1Ob/J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192</v>
      </c>
      <c r="C3" s="134"/>
      <c r="D3" s="134"/>
      <c r="E3" s="134"/>
      <c r="F3" s="134"/>
      <c r="G3" s="1"/>
    </row>
    <row r="4" spans="1:7" ht="29.2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9" t="s">
        <v>193</v>
      </c>
      <c r="C9" s="130"/>
      <c r="D9" s="131"/>
      <c r="E9" s="7">
        <v>140500589.92465529</v>
      </c>
      <c r="F9" s="8" t="s">
        <v>3</v>
      </c>
      <c r="G9" s="1"/>
    </row>
    <row r="10" spans="1:7" ht="15" customHeight="1" x14ac:dyDescent="0.25">
      <c r="A10" s="1"/>
      <c r="B10" s="120" t="s">
        <v>39</v>
      </c>
      <c r="C10" s="121"/>
      <c r="D10" s="122"/>
      <c r="E10" s="7">
        <v>81333.517800000001</v>
      </c>
      <c r="F10" s="8" t="s">
        <v>3</v>
      </c>
      <c r="G10" s="1"/>
    </row>
    <row r="11" spans="1:7" ht="15" customHeight="1" x14ac:dyDescent="0.25">
      <c r="A11" s="1"/>
      <c r="B11" s="120" t="s">
        <v>40</v>
      </c>
      <c r="C11" s="121"/>
      <c r="D11" s="122"/>
      <c r="E11" s="9">
        <v>3069997.6700000004</v>
      </c>
      <c r="F11" s="8" t="s">
        <v>3</v>
      </c>
      <c r="G11" s="1"/>
    </row>
    <row r="12" spans="1:7" ht="15" customHeight="1" x14ac:dyDescent="0.25">
      <c r="A12" s="1"/>
      <c r="B12" s="120" t="s">
        <v>27</v>
      </c>
      <c r="C12" s="121"/>
      <c r="D12" s="122"/>
      <c r="E12" s="9">
        <v>0</v>
      </c>
      <c r="F12" s="8" t="s">
        <v>3</v>
      </c>
      <c r="G12" s="1"/>
    </row>
    <row r="13" spans="1:7" ht="15" customHeight="1" x14ac:dyDescent="0.25">
      <c r="A13" s="1"/>
      <c r="B13" s="129" t="s">
        <v>26</v>
      </c>
      <c r="C13" s="130"/>
      <c r="D13" s="131"/>
      <c r="E13" s="9">
        <v>0</v>
      </c>
      <c r="F13" s="8" t="s">
        <v>3</v>
      </c>
      <c r="G13" s="1"/>
    </row>
    <row r="14" spans="1:7" ht="15" customHeight="1" x14ac:dyDescent="0.25">
      <c r="A14" s="1"/>
      <c r="B14" s="129" t="s">
        <v>29</v>
      </c>
      <c r="C14" s="130"/>
      <c r="D14" s="131"/>
      <c r="E14" s="9">
        <v>0</v>
      </c>
      <c r="F14" s="8" t="s">
        <v>3</v>
      </c>
      <c r="G14" s="1"/>
    </row>
    <row r="15" spans="1:7" ht="15" customHeight="1" x14ac:dyDescent="0.25">
      <c r="A15" s="1"/>
      <c r="B15" s="129" t="s">
        <v>28</v>
      </c>
      <c r="C15" s="130"/>
      <c r="D15" s="131"/>
      <c r="E15" s="9">
        <v>0</v>
      </c>
      <c r="F15" s="8" t="s">
        <v>3</v>
      </c>
      <c r="G15" s="1"/>
    </row>
    <row r="16" spans="1:7" ht="15" customHeight="1" x14ac:dyDescent="0.25">
      <c r="A16" s="1"/>
      <c r="B16" s="129" t="s">
        <v>19</v>
      </c>
      <c r="C16" s="130"/>
      <c r="D16" s="131"/>
      <c r="E16" s="9">
        <f>SUM(E9:E15)*'Fane 15. Nøgletal'!C14</f>
        <v>474051.33967110241</v>
      </c>
      <c r="F16" s="8" t="s">
        <v>3</v>
      </c>
      <c r="G16" s="1"/>
    </row>
    <row r="17" spans="1:7" ht="15" customHeight="1" x14ac:dyDescent="0.25">
      <c r="A17" s="1"/>
      <c r="B17" s="129" t="s">
        <v>10</v>
      </c>
      <c r="C17" s="130"/>
      <c r="D17" s="131"/>
      <c r="E17" s="9">
        <v>-1526785.3904971222</v>
      </c>
      <c r="F17" s="8" t="s">
        <v>3</v>
      </c>
      <c r="G17" s="1"/>
    </row>
    <row r="18" spans="1:7" ht="15" customHeight="1" x14ac:dyDescent="0.25">
      <c r="A18" s="1"/>
      <c r="B18" s="129" t="s">
        <v>24</v>
      </c>
      <c r="C18" s="130"/>
      <c r="D18" s="131"/>
      <c r="E18" s="9">
        <f>-'Fane 4.1. Gen. krav - drift'!G39</f>
        <v>-873590.82320580713</v>
      </c>
      <c r="F18" s="8" t="s">
        <v>3</v>
      </c>
      <c r="G18" s="1"/>
    </row>
    <row r="19" spans="1:7" ht="15" customHeight="1" x14ac:dyDescent="0.25">
      <c r="A19" s="1"/>
      <c r="B19" s="129" t="s">
        <v>25</v>
      </c>
      <c r="C19" s="130"/>
      <c r="D19" s="131"/>
      <c r="E19" s="9">
        <f>-'Fane 4.2. Gen. krav - anlæg'!G37</f>
        <v>-1690947.1001019396</v>
      </c>
      <c r="F19" s="8" t="s">
        <v>3</v>
      </c>
      <c r="G19" s="1"/>
    </row>
    <row r="20" spans="1:7" ht="15" customHeight="1" x14ac:dyDescent="0.25">
      <c r="A20" s="1"/>
      <c r="B20" s="57" t="s">
        <v>21</v>
      </c>
      <c r="C20" s="88"/>
      <c r="D20" s="94"/>
      <c r="E20" s="54">
        <f>SUM(E9:E19)</f>
        <v>140034649.13832152</v>
      </c>
      <c r="F20" s="56" t="s">
        <v>3</v>
      </c>
      <c r="G20" s="1"/>
    </row>
    <row r="21" spans="1:7" ht="15" customHeight="1" x14ac:dyDescent="0.25">
      <c r="A21" s="1"/>
      <c r="B21" s="33" t="s">
        <v>12</v>
      </c>
      <c r="C21" s="28"/>
      <c r="D21" s="28"/>
      <c r="E21" s="28"/>
      <c r="F21" s="19"/>
      <c r="G21" s="1"/>
    </row>
    <row r="22" spans="1:7" ht="15" customHeight="1" x14ac:dyDescent="0.25">
      <c r="A22" s="1"/>
      <c r="B22" s="123" t="s">
        <v>12</v>
      </c>
      <c r="C22" s="124"/>
      <c r="D22" s="125"/>
      <c r="E22" s="10">
        <v>4821905.2657939401</v>
      </c>
      <c r="F22" s="11" t="s">
        <v>3</v>
      </c>
      <c r="G22" s="1"/>
    </row>
    <row r="23" spans="1:7" ht="15" customHeight="1" x14ac:dyDescent="0.25">
      <c r="A23" s="1"/>
      <c r="B23" s="126" t="s">
        <v>86</v>
      </c>
      <c r="C23" s="127"/>
      <c r="D23" s="128"/>
      <c r="E23" s="28"/>
      <c r="F23" s="28"/>
      <c r="G23" s="1"/>
    </row>
    <row r="24" spans="1:7" ht="15" customHeight="1" x14ac:dyDescent="0.25">
      <c r="A24" s="1"/>
      <c r="B24" s="87" t="s">
        <v>86</v>
      </c>
      <c r="C24" s="38"/>
      <c r="D24" s="39"/>
      <c r="E24" s="10">
        <v>457336.00804525509</v>
      </c>
      <c r="F24" s="11" t="s">
        <v>3</v>
      </c>
      <c r="G24" s="1"/>
    </row>
    <row r="25" spans="1:7" x14ac:dyDescent="0.25">
      <c r="A25" s="1"/>
      <c r="B25" s="33" t="s">
        <v>85</v>
      </c>
      <c r="C25" s="28"/>
      <c r="D25" s="28"/>
      <c r="E25" s="28"/>
      <c r="F25" s="19"/>
      <c r="G25" s="1"/>
    </row>
    <row r="26" spans="1:7" ht="15" customHeight="1" x14ac:dyDescent="0.25">
      <c r="A26" s="1"/>
      <c r="B26" s="120" t="s">
        <v>81</v>
      </c>
      <c r="C26" s="121"/>
      <c r="D26" s="122"/>
      <c r="E26" s="9">
        <v>0</v>
      </c>
      <c r="F26" s="8" t="s">
        <v>3</v>
      </c>
      <c r="G26" s="1"/>
    </row>
    <row r="27" spans="1:7" ht="15" customHeight="1" x14ac:dyDescent="0.25">
      <c r="A27" s="1"/>
      <c r="B27" s="120" t="s">
        <v>82</v>
      </c>
      <c r="C27" s="121"/>
      <c r="D27" s="121"/>
      <c r="E27" s="9">
        <v>0</v>
      </c>
      <c r="F27" s="8" t="s">
        <v>3</v>
      </c>
      <c r="G27" s="1"/>
    </row>
    <row r="28" spans="1:7" ht="15" customHeight="1" x14ac:dyDescent="0.25">
      <c r="A28" s="1"/>
      <c r="B28" s="132" t="s">
        <v>87</v>
      </c>
      <c r="C28" s="133"/>
      <c r="D28" s="133"/>
      <c r="E28" s="40">
        <v>0</v>
      </c>
      <c r="F28" s="11" t="s">
        <v>3</v>
      </c>
      <c r="G28" s="1"/>
    </row>
    <row r="29" spans="1:7" ht="15" customHeight="1" x14ac:dyDescent="0.25">
      <c r="A29" s="1"/>
      <c r="B29" s="33" t="s">
        <v>143</v>
      </c>
      <c r="C29" s="33"/>
      <c r="D29" s="33"/>
      <c r="E29" s="28"/>
      <c r="F29" s="28"/>
      <c r="G29" s="1"/>
    </row>
    <row r="30" spans="1:7" ht="15" customHeight="1" x14ac:dyDescent="0.25">
      <c r="A30" s="1"/>
      <c r="B30" s="123" t="s">
        <v>142</v>
      </c>
      <c r="C30" s="124"/>
      <c r="D30" s="124"/>
      <c r="E30" s="40">
        <v>0</v>
      </c>
      <c r="F30" s="11" t="s">
        <v>3</v>
      </c>
      <c r="G30" s="1"/>
    </row>
    <row r="31" spans="1:7" x14ac:dyDescent="0.25">
      <c r="A31" s="1"/>
      <c r="B31" s="33" t="s">
        <v>123</v>
      </c>
      <c r="C31" s="28"/>
      <c r="D31" s="28"/>
      <c r="E31" s="28"/>
      <c r="F31" s="28"/>
      <c r="G31" s="1"/>
    </row>
    <row r="32" spans="1:7" ht="15.4" customHeight="1" x14ac:dyDescent="0.25">
      <c r="A32" s="1"/>
      <c r="B32" s="123" t="s">
        <v>123</v>
      </c>
      <c r="C32" s="124"/>
      <c r="D32" s="125"/>
      <c r="E32" s="10">
        <v>820703</v>
      </c>
      <c r="F32" s="11" t="s">
        <v>3</v>
      </c>
      <c r="G32" s="1"/>
    </row>
    <row r="33" spans="1:7" ht="15.4" customHeight="1" x14ac:dyDescent="0.25">
      <c r="A33" s="1"/>
      <c r="B33" s="126" t="s">
        <v>175</v>
      </c>
      <c r="C33" s="127"/>
      <c r="D33" s="127"/>
      <c r="E33" s="127"/>
      <c r="F33" s="128"/>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146134593.41216072</v>
      </c>
      <c r="F35" s="55" t="s">
        <v>3</v>
      </c>
      <c r="G35" s="1"/>
    </row>
    <row r="36" spans="1:7" ht="27" customHeight="1" x14ac:dyDescent="0.25">
      <c r="A36" s="1"/>
      <c r="B36" s="129" t="s">
        <v>224</v>
      </c>
      <c r="C36" s="130"/>
      <c r="D36" s="130"/>
      <c r="E36" s="130"/>
      <c r="F36" s="13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PJQjvpJmFPeAlwvCKeNHHJCI5Ucd6FcB5sNGj7dRtLnxMH7mfOdO0213vhO4PLNR07Y+Lv4m+kySoQ+f9dUOUw==" saltValue="BdnSyhydeA32fg2XIa9SO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4" t="s">
        <v>109</v>
      </c>
      <c r="C2" s="134"/>
      <c r="D2" s="134"/>
      <c r="E2" s="134"/>
      <c r="F2" s="134"/>
      <c r="G2" s="134"/>
      <c r="H2" s="134"/>
      <c r="I2" s="1"/>
    </row>
    <row r="3" spans="1:9" ht="28.5" customHeight="1" x14ac:dyDescent="0.25">
      <c r="A3" s="1"/>
      <c r="B3" s="134"/>
      <c r="C3" s="134"/>
      <c r="D3" s="134"/>
      <c r="E3" s="134"/>
      <c r="F3" s="134"/>
      <c r="G3" s="134"/>
      <c r="H3" s="134"/>
      <c r="I3" s="1"/>
    </row>
    <row r="4" spans="1:9" x14ac:dyDescent="0.25">
      <c r="A4" s="1"/>
      <c r="B4" s="126" t="s">
        <v>52</v>
      </c>
      <c r="C4" s="127"/>
      <c r="D4" s="127"/>
      <c r="E4" s="127"/>
      <c r="F4" s="127"/>
      <c r="G4" s="127"/>
      <c r="H4" s="128"/>
      <c r="I4" s="1"/>
    </row>
    <row r="5" spans="1:9" x14ac:dyDescent="0.25">
      <c r="A5" s="1"/>
      <c r="B5" s="135" t="s">
        <v>41</v>
      </c>
      <c r="C5" s="136"/>
      <c r="D5" s="136"/>
      <c r="E5" s="136"/>
      <c r="F5" s="137"/>
      <c r="G5" s="23">
        <v>44655150</v>
      </c>
      <c r="H5" s="14" t="s">
        <v>3</v>
      </c>
      <c r="I5" s="1"/>
    </row>
    <row r="6" spans="1:9" x14ac:dyDescent="0.25">
      <c r="A6" s="1"/>
      <c r="B6" s="129" t="s">
        <v>120</v>
      </c>
      <c r="C6" s="130"/>
      <c r="D6" s="130"/>
      <c r="E6" s="130"/>
      <c r="F6" s="131"/>
      <c r="G6" s="9">
        <v>484960</v>
      </c>
      <c r="H6" s="14" t="s">
        <v>3</v>
      </c>
      <c r="I6" s="1"/>
    </row>
    <row r="7" spans="1:9" x14ac:dyDescent="0.25">
      <c r="A7" s="1"/>
      <c r="B7" s="135" t="s">
        <v>42</v>
      </c>
      <c r="C7" s="136"/>
      <c r="D7" s="136"/>
      <c r="E7" s="136"/>
      <c r="F7" s="137"/>
      <c r="G7" s="23">
        <f>SUM(G5:G6)*'Fane 15. Nøgletal'!C31</f>
        <v>902802.20000000007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6" t="s">
        <v>53</v>
      </c>
      <c r="C10" s="127"/>
      <c r="D10" s="127"/>
      <c r="E10" s="127"/>
      <c r="F10" s="127"/>
      <c r="G10" s="127"/>
      <c r="H10" s="128"/>
      <c r="I10" s="1"/>
    </row>
    <row r="11" spans="1:9" x14ac:dyDescent="0.25">
      <c r="A11" s="1"/>
      <c r="B11" s="135" t="s">
        <v>43</v>
      </c>
      <c r="C11" s="136"/>
      <c r="D11" s="136"/>
      <c r="E11" s="136"/>
      <c r="F11" s="137"/>
      <c r="G11" s="23">
        <f>(G5-G7)*(1+'Fane 15. Nøgletal'!C10)</f>
        <v>44518013.886500001</v>
      </c>
      <c r="H11" s="14" t="s">
        <v>3</v>
      </c>
      <c r="I11" s="1"/>
    </row>
    <row r="12" spans="1:9" ht="15" customHeight="1" x14ac:dyDescent="0.25">
      <c r="A12" s="1"/>
      <c r="B12" s="135" t="s">
        <v>121</v>
      </c>
      <c r="C12" s="136"/>
      <c r="D12" s="136"/>
      <c r="E12" s="136"/>
      <c r="F12" s="137"/>
      <c r="G12" s="9">
        <v>0.11720650661736727</v>
      </c>
      <c r="H12" s="14" t="s">
        <v>3</v>
      </c>
      <c r="I12" s="1"/>
    </row>
    <row r="13" spans="1:9" x14ac:dyDescent="0.25">
      <c r="A13" s="1"/>
      <c r="B13" s="129" t="s">
        <v>118</v>
      </c>
      <c r="C13" s="130"/>
      <c r="D13" s="130"/>
      <c r="E13" s="130"/>
      <c r="F13" s="131"/>
      <c r="G13" s="9">
        <v>472896.35250000004</v>
      </c>
      <c r="H13" s="14" t="s">
        <v>3</v>
      </c>
      <c r="I13" s="1"/>
    </row>
    <row r="14" spans="1:9" x14ac:dyDescent="0.25">
      <c r="A14" s="1"/>
      <c r="B14" s="138" t="s">
        <v>44</v>
      </c>
      <c r="C14" s="139"/>
      <c r="D14" s="139"/>
      <c r="E14" s="139"/>
      <c r="F14" s="140"/>
      <c r="G14" s="9">
        <v>0</v>
      </c>
      <c r="H14" s="14" t="s">
        <v>3</v>
      </c>
      <c r="I14" s="1"/>
    </row>
    <row r="15" spans="1:9" x14ac:dyDescent="0.25">
      <c r="A15" s="1"/>
      <c r="B15" s="135" t="s">
        <v>45</v>
      </c>
      <c r="C15" s="136"/>
      <c r="D15" s="136"/>
      <c r="E15" s="136"/>
      <c r="F15" s="137"/>
      <c r="G15" s="23">
        <f>SUM(G11:G14)*'Fane 15. Nøgletal'!C31</f>
        <v>899818.2071241301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6" t="s">
        <v>54</v>
      </c>
      <c r="C18" s="127"/>
      <c r="D18" s="127"/>
      <c r="E18" s="127"/>
      <c r="F18" s="127"/>
      <c r="G18" s="127"/>
      <c r="H18" s="128"/>
      <c r="I18" s="1"/>
    </row>
    <row r="19" spans="1:9" x14ac:dyDescent="0.25">
      <c r="A19" s="1"/>
      <c r="B19" s="135" t="s">
        <v>46</v>
      </c>
      <c r="C19" s="136"/>
      <c r="D19" s="136"/>
      <c r="E19" s="136"/>
      <c r="F19" s="137"/>
      <c r="G19" s="23">
        <f>(SUM(G11:G12,G14)-(G15))*(1+'Fane 15. Nøgletal'!C10)</f>
        <v>44381514.223022573</v>
      </c>
      <c r="H19" s="14" t="s">
        <v>3</v>
      </c>
      <c r="I19" s="1"/>
    </row>
    <row r="20" spans="1:9" x14ac:dyDescent="0.25">
      <c r="A20" s="1"/>
      <c r="B20" s="138" t="s">
        <v>47</v>
      </c>
      <c r="C20" s="139"/>
      <c r="D20" s="139"/>
      <c r="E20" s="139"/>
      <c r="F20" s="140"/>
      <c r="G20" s="9">
        <v>0</v>
      </c>
      <c r="H20" s="14" t="s">
        <v>3</v>
      </c>
      <c r="I20" s="1"/>
    </row>
    <row r="21" spans="1:9" x14ac:dyDescent="0.25">
      <c r="A21" s="1"/>
      <c r="B21" s="135" t="s">
        <v>48</v>
      </c>
      <c r="C21" s="136"/>
      <c r="D21" s="136"/>
      <c r="E21" s="136"/>
      <c r="F21" s="137"/>
      <c r="G21" s="23">
        <f>SUM(G19:G20)*'Fane 15. Nøgletal'!C31</f>
        <v>887630.28446045145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6" t="s">
        <v>55</v>
      </c>
      <c r="C24" s="127"/>
      <c r="D24" s="127"/>
      <c r="E24" s="127"/>
      <c r="F24" s="127"/>
      <c r="G24" s="127"/>
      <c r="H24" s="128"/>
      <c r="I24" s="1"/>
    </row>
    <row r="25" spans="1:9" x14ac:dyDescent="0.25">
      <c r="A25" s="1"/>
      <c r="B25" s="135" t="s">
        <v>49</v>
      </c>
      <c r="C25" s="136"/>
      <c r="D25" s="136"/>
      <c r="E25" s="136"/>
      <c r="F25" s="137"/>
      <c r="G25" s="23">
        <f>(G19+G20-G21)*(1+'Fane 15. Nøgletal'!C12)</f>
        <v>44350713.452151798</v>
      </c>
      <c r="H25" s="14" t="s">
        <v>3</v>
      </c>
      <c r="I25" s="1"/>
    </row>
    <row r="26" spans="1:9" x14ac:dyDescent="0.25">
      <c r="A26" s="1"/>
      <c r="B26" s="138" t="s">
        <v>50</v>
      </c>
      <c r="C26" s="139"/>
      <c r="D26" s="139"/>
      <c r="E26" s="139"/>
      <c r="F26" s="140"/>
      <c r="G26" s="9">
        <v>0</v>
      </c>
      <c r="H26" s="14" t="s">
        <v>3</v>
      </c>
      <c r="I26" s="1"/>
    </row>
    <row r="27" spans="1:9" x14ac:dyDescent="0.25">
      <c r="A27" s="1"/>
      <c r="B27" s="135" t="s">
        <v>51</v>
      </c>
      <c r="C27" s="136"/>
      <c r="D27" s="136"/>
      <c r="E27" s="136"/>
      <c r="F27" s="137"/>
      <c r="G27" s="23">
        <f>(G25+G26)*'Fane 15. Nøgletal'!C31</f>
        <v>887014.26904303592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6" t="s">
        <v>58</v>
      </c>
      <c r="C30" s="127"/>
      <c r="D30" s="127"/>
      <c r="E30" s="127"/>
      <c r="F30" s="127"/>
      <c r="G30" s="127"/>
      <c r="H30" s="128"/>
      <c r="I30" s="1"/>
    </row>
    <row r="31" spans="1:9" x14ac:dyDescent="0.25">
      <c r="A31" s="1"/>
      <c r="B31" s="135" t="s">
        <v>59</v>
      </c>
      <c r="C31" s="136"/>
      <c r="D31" s="136"/>
      <c r="E31" s="136"/>
      <c r="F31" s="137"/>
      <c r="G31" s="23">
        <f>(G25+G26-G27)*(1+'Fane 15. Nøgletal'!C12)</f>
        <v>44319934.057016008</v>
      </c>
      <c r="H31" s="14" t="s">
        <v>3</v>
      </c>
      <c r="I31" s="1"/>
    </row>
    <row r="32" spans="1:9" x14ac:dyDescent="0.25">
      <c r="A32" s="1"/>
      <c r="B32" s="135" t="s">
        <v>137</v>
      </c>
      <c r="C32" s="136"/>
      <c r="D32" s="136"/>
      <c r="E32" s="136"/>
      <c r="F32" s="137"/>
      <c r="G32" s="23">
        <v>21432.537183960001</v>
      </c>
      <c r="H32" s="14" t="s">
        <v>3</v>
      </c>
      <c r="I32" s="1"/>
    </row>
    <row r="33" spans="1:9" x14ac:dyDescent="0.25">
      <c r="A33" s="1"/>
      <c r="B33" s="135" t="s">
        <v>60</v>
      </c>
      <c r="C33" s="136"/>
      <c r="D33" s="136"/>
      <c r="E33" s="136"/>
      <c r="F33" s="137"/>
      <c r="G33" s="23">
        <f>(G31+G32)*'Fane 15. Nøgletal'!C31</f>
        <v>886827.3318839994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6" t="s">
        <v>160</v>
      </c>
      <c r="C36" s="127"/>
      <c r="D36" s="127"/>
      <c r="E36" s="127"/>
      <c r="F36" s="127"/>
      <c r="G36" s="127"/>
      <c r="H36" s="128"/>
      <c r="I36" s="1"/>
    </row>
    <row r="37" spans="1:9" x14ac:dyDescent="0.25">
      <c r="A37" s="1"/>
      <c r="B37" s="135" t="s">
        <v>79</v>
      </c>
      <c r="C37" s="136"/>
      <c r="D37" s="136"/>
      <c r="E37" s="136"/>
      <c r="F37" s="137"/>
      <c r="G37" s="23">
        <f>(G31+G32-G33)*(1+'Fane 15. Nøgletal'!C14)</f>
        <v>43597939.241881616</v>
      </c>
      <c r="H37" s="14" t="s">
        <v>3</v>
      </c>
      <c r="I37" s="1"/>
    </row>
    <row r="38" spans="1:9" x14ac:dyDescent="0.25">
      <c r="A38" s="1"/>
      <c r="B38" s="135" t="s">
        <v>164</v>
      </c>
      <c r="C38" s="136"/>
      <c r="D38" s="136"/>
      <c r="E38" s="136"/>
      <c r="F38" s="137"/>
      <c r="G38" s="23">
        <v>81601.918408740006</v>
      </c>
      <c r="H38" s="14" t="s">
        <v>3</v>
      </c>
      <c r="I38" s="1"/>
    </row>
    <row r="39" spans="1:9" x14ac:dyDescent="0.25">
      <c r="A39" s="1"/>
      <c r="B39" s="135" t="s">
        <v>162</v>
      </c>
      <c r="C39" s="136"/>
      <c r="D39" s="136"/>
      <c r="E39" s="136"/>
      <c r="F39" s="137"/>
      <c r="G39" s="23">
        <f>(G37+G38)*'Fane 15. Nøgletal'!C31</f>
        <v>873590.82320580713</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6" t="s">
        <v>161</v>
      </c>
      <c r="C42" s="127"/>
      <c r="D42" s="127"/>
      <c r="E42" s="127"/>
      <c r="F42" s="127"/>
      <c r="G42" s="127"/>
      <c r="H42" s="128"/>
      <c r="I42" s="1"/>
    </row>
    <row r="43" spans="1:9" x14ac:dyDescent="0.25">
      <c r="A43" s="1"/>
      <c r="B43" s="135" t="s">
        <v>230</v>
      </c>
      <c r="C43" s="136"/>
      <c r="D43" s="136"/>
      <c r="E43" s="136"/>
      <c r="F43" s="137"/>
      <c r="G43" s="23">
        <f>(G37+G38-G39)*(1+'Fane 15. Nøgletal'!C14)</f>
        <v>42947209.973196931</v>
      </c>
      <c r="H43" s="14" t="s">
        <v>3</v>
      </c>
      <c r="I43" s="1"/>
    </row>
    <row r="44" spans="1:9" x14ac:dyDescent="0.25">
      <c r="A44" s="1"/>
      <c r="B44" s="141" t="s">
        <v>232</v>
      </c>
      <c r="C44" s="142"/>
      <c r="D44" s="142"/>
      <c r="E44" s="142"/>
      <c r="F44" s="143"/>
      <c r="G44" s="49">
        <f>('Fane 2.1. Økonomisk ramme 2023'!C10+'Fane 2.1. Økonomisk ramme 2023'!C12+'Fane 2.1. Økonomisk ramme 2023'!C14)*(1+'Fane 15. Nøgletal'!C15)</f>
        <v>67549.356669600005</v>
      </c>
      <c r="H44" s="14" t="s">
        <v>3</v>
      </c>
      <c r="I44" s="1"/>
    </row>
    <row r="45" spans="1:9" x14ac:dyDescent="0.25">
      <c r="A45" s="1"/>
      <c r="B45" s="135" t="s">
        <v>163</v>
      </c>
      <c r="C45" s="136"/>
      <c r="D45" s="136"/>
      <c r="E45" s="136"/>
      <c r="F45" s="137"/>
      <c r="G45" s="23">
        <f>SUM(G43:G44)*'Fane 15. Nøgletal'!C31</f>
        <v>860295.18659733061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6" t="s">
        <v>243</v>
      </c>
      <c r="C51" s="127"/>
      <c r="D51" s="127"/>
      <c r="E51" s="127"/>
      <c r="F51" s="127"/>
      <c r="G51" s="127"/>
      <c r="H51" s="128"/>
      <c r="I51" s="1"/>
    </row>
    <row r="52" spans="1:9" x14ac:dyDescent="0.25">
      <c r="A52" s="1"/>
      <c r="B52" s="135" t="s">
        <v>229</v>
      </c>
      <c r="C52" s="136"/>
      <c r="D52" s="136"/>
      <c r="E52" s="136"/>
      <c r="F52" s="137"/>
      <c r="G52" s="23">
        <f>(G43+G44-G45)*(1+'Fane 15. Nøgletal'!C15)</f>
        <v>43655163.066769585</v>
      </c>
      <c r="H52" s="14" t="s">
        <v>3</v>
      </c>
      <c r="I52" s="1"/>
    </row>
    <row r="53" spans="1:9" x14ac:dyDescent="0.25">
      <c r="A53" s="1"/>
      <c r="B53" s="135" t="s">
        <v>138</v>
      </c>
      <c r="C53" s="136"/>
      <c r="D53" s="136"/>
      <c r="E53" s="136"/>
      <c r="F53" s="137"/>
      <c r="G53" s="23">
        <f>(G52)*'Fane 15. Nøgletal'!C31</f>
        <v>873103.26133539167</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6" t="s">
        <v>150</v>
      </c>
      <c r="C56" s="127"/>
      <c r="D56" s="127"/>
      <c r="E56" s="127"/>
      <c r="F56" s="127"/>
      <c r="G56" s="127"/>
      <c r="H56" s="128"/>
      <c r="I56" s="1"/>
    </row>
    <row r="57" spans="1:9" x14ac:dyDescent="0.25">
      <c r="A57" s="1"/>
      <c r="B57" s="89" t="s">
        <v>151</v>
      </c>
      <c r="C57" s="90"/>
      <c r="D57" s="90"/>
      <c r="E57" s="90"/>
      <c r="F57" s="91"/>
      <c r="G57" s="23">
        <f>(G52-G53)*(1+'Fane 15. Nøgletal'!C15)</f>
        <v>44305101.134507649</v>
      </c>
      <c r="H57" s="14" t="s">
        <v>3</v>
      </c>
      <c r="I57" s="1"/>
    </row>
    <row r="58" spans="1:9" x14ac:dyDescent="0.25">
      <c r="A58" s="1"/>
      <c r="B58" s="89" t="s">
        <v>152</v>
      </c>
      <c r="C58" s="90"/>
      <c r="D58" s="90"/>
      <c r="E58" s="90"/>
      <c r="F58" s="91"/>
      <c r="G58" s="23">
        <f>(G57)*'Fane 15. Nøgletal'!C31</f>
        <v>886102.02269015298</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6" t="s">
        <v>194</v>
      </c>
      <c r="C61" s="127"/>
      <c r="D61" s="127"/>
      <c r="E61" s="127"/>
      <c r="F61" s="127"/>
      <c r="G61" s="127"/>
      <c r="H61" s="128"/>
      <c r="I61" s="1"/>
    </row>
    <row r="62" spans="1:9" x14ac:dyDescent="0.25">
      <c r="A62" s="1"/>
      <c r="B62" s="89" t="s">
        <v>195</v>
      </c>
      <c r="C62" s="90"/>
      <c r="D62" s="90"/>
      <c r="E62" s="90"/>
      <c r="F62" s="91"/>
      <c r="G62" s="23">
        <f>(G57-G58)*(1+'Fane 15. Nøgletal'!C15)</f>
        <v>44964715.480198197</v>
      </c>
      <c r="H62" s="14" t="s">
        <v>3</v>
      </c>
      <c r="I62" s="1"/>
    </row>
    <row r="63" spans="1:9" x14ac:dyDescent="0.25">
      <c r="A63" s="1"/>
      <c r="B63" s="89" t="s">
        <v>196</v>
      </c>
      <c r="C63" s="90"/>
      <c r="D63" s="90"/>
      <c r="E63" s="90"/>
      <c r="F63" s="91"/>
      <c r="G63" s="23">
        <f>(G62)*'Fane 15. Nøgletal'!C31</f>
        <v>899294.30960396398</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GURn1opxcFJcB1g/PduaEPWwQ0mOZrXwgQkNYIihzPHecrgGTcgOtBNZQ6wzgeZWzGa1lmWJKaJQP0OVlGM2UQ==" saltValue="TGtu4AMfKBdivFe0xTvaW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4" t="s">
        <v>110</v>
      </c>
      <c r="C1" s="144"/>
      <c r="D1" s="144"/>
      <c r="E1" s="144"/>
      <c r="F1" s="144"/>
      <c r="G1" s="144"/>
      <c r="H1" s="144"/>
      <c r="I1" s="1"/>
    </row>
    <row r="2" spans="1:9" ht="15" customHeight="1" x14ac:dyDescent="0.25">
      <c r="A2" s="1"/>
      <c r="B2" s="144"/>
      <c r="C2" s="144"/>
      <c r="D2" s="144"/>
      <c r="E2" s="144"/>
      <c r="F2" s="144"/>
      <c r="G2" s="144"/>
      <c r="H2" s="144"/>
      <c r="I2" s="1"/>
    </row>
    <row r="3" spans="1:9" ht="15" customHeight="1" x14ac:dyDescent="0.25">
      <c r="A3" s="1"/>
      <c r="B3" s="145"/>
      <c r="C3" s="145"/>
      <c r="D3" s="145"/>
      <c r="E3" s="145"/>
      <c r="F3" s="145"/>
      <c r="G3" s="145"/>
      <c r="H3" s="145"/>
      <c r="I3" s="1"/>
    </row>
    <row r="4" spans="1:9" x14ac:dyDescent="0.25">
      <c r="A4" s="1"/>
      <c r="B4" s="126" t="s">
        <v>56</v>
      </c>
      <c r="C4" s="127"/>
      <c r="D4" s="127"/>
      <c r="E4" s="127"/>
      <c r="F4" s="127"/>
      <c r="G4" s="127"/>
      <c r="H4" s="128"/>
      <c r="I4" s="1"/>
    </row>
    <row r="5" spans="1:9" x14ac:dyDescent="0.25">
      <c r="A5" s="1"/>
      <c r="B5" s="135" t="s">
        <v>61</v>
      </c>
      <c r="C5" s="136"/>
      <c r="D5" s="136"/>
      <c r="E5" s="136"/>
      <c r="F5" s="137"/>
      <c r="G5" s="23">
        <v>107075238.06309244</v>
      </c>
      <c r="H5" s="14" t="s">
        <v>3</v>
      </c>
      <c r="I5" s="1"/>
    </row>
    <row r="6" spans="1:9" x14ac:dyDescent="0.25">
      <c r="A6" s="1"/>
      <c r="B6" s="135" t="s">
        <v>57</v>
      </c>
      <c r="C6" s="136"/>
      <c r="D6" s="136"/>
      <c r="E6" s="136"/>
      <c r="F6" s="137"/>
      <c r="G6" s="23">
        <f>G5*'Fane 15. Nøgletal'!C20</f>
        <v>974384.66637414123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6" t="s">
        <v>62</v>
      </c>
      <c r="C9" s="127"/>
      <c r="D9" s="127"/>
      <c r="E9" s="127"/>
      <c r="F9" s="127"/>
      <c r="G9" s="127"/>
      <c r="H9" s="128"/>
      <c r="I9" s="1"/>
    </row>
    <row r="10" spans="1:9" x14ac:dyDescent="0.25">
      <c r="A10" s="1"/>
      <c r="B10" s="135" t="s">
        <v>63</v>
      </c>
      <c r="C10" s="136"/>
      <c r="D10" s="136"/>
      <c r="E10" s="136"/>
      <c r="F10" s="137"/>
      <c r="G10" s="23">
        <f>(G5-G6)*(1+'Fane 15. Nøgletal'!C10)</f>
        <v>107957618.33116087</v>
      </c>
      <c r="H10" s="14" t="s">
        <v>3</v>
      </c>
      <c r="I10" s="1"/>
    </row>
    <row r="11" spans="1:9" x14ac:dyDescent="0.25">
      <c r="A11" s="1"/>
      <c r="B11" s="135" t="s">
        <v>122</v>
      </c>
      <c r="C11" s="136"/>
      <c r="D11" s="136"/>
      <c r="E11" s="136"/>
      <c r="F11" s="137"/>
      <c r="G11" s="73">
        <v>-1085053.9324935006</v>
      </c>
      <c r="H11" s="14" t="s">
        <v>3</v>
      </c>
      <c r="I11" s="1"/>
    </row>
    <row r="12" spans="1:9" x14ac:dyDescent="0.25">
      <c r="A12" s="1"/>
      <c r="B12" s="138" t="s">
        <v>64</v>
      </c>
      <c r="C12" s="139"/>
      <c r="D12" s="139"/>
      <c r="E12" s="139"/>
      <c r="F12" s="140"/>
      <c r="G12" s="9">
        <v>0</v>
      </c>
      <c r="H12" s="14" t="s">
        <v>3</v>
      </c>
      <c r="I12" s="1"/>
    </row>
    <row r="13" spans="1:9" x14ac:dyDescent="0.25">
      <c r="A13" s="1"/>
      <c r="B13" s="135" t="s">
        <v>65</v>
      </c>
      <c r="C13" s="136"/>
      <c r="D13" s="136"/>
      <c r="E13" s="136"/>
      <c r="F13" s="137"/>
      <c r="G13" s="23">
        <f>SUM(G10:G12)*'Fane 15. Nøgletal'!C21</f>
        <v>1891644.3898564123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6" t="s">
        <v>66</v>
      </c>
      <c r="C16" s="127"/>
      <c r="D16" s="127"/>
      <c r="E16" s="127"/>
      <c r="F16" s="127"/>
      <c r="G16" s="127"/>
      <c r="H16" s="128"/>
      <c r="I16" s="1"/>
    </row>
    <row r="17" spans="1:9" x14ac:dyDescent="0.25">
      <c r="A17" s="1"/>
      <c r="B17" s="135" t="s">
        <v>67</v>
      </c>
      <c r="C17" s="136"/>
      <c r="D17" s="136"/>
      <c r="E17" s="136"/>
      <c r="F17" s="137"/>
      <c r="G17" s="23">
        <f>(SUM(G10:G12)-G13)*(1+'Fane 15. Nøgletal'!C10)</f>
        <v>106818086.10896516</v>
      </c>
      <c r="H17" s="14" t="s">
        <v>3</v>
      </c>
      <c r="I17" s="1"/>
    </row>
    <row r="18" spans="1:9" x14ac:dyDescent="0.25">
      <c r="A18" s="1"/>
      <c r="B18" s="138" t="s">
        <v>68</v>
      </c>
      <c r="C18" s="139"/>
      <c r="D18" s="139"/>
      <c r="E18" s="139"/>
      <c r="F18" s="140"/>
      <c r="G18" s="23">
        <v>607248.79517069401</v>
      </c>
      <c r="H18" s="14" t="s">
        <v>3</v>
      </c>
      <c r="I18" s="1"/>
    </row>
    <row r="19" spans="1:9" x14ac:dyDescent="0.25">
      <c r="A19" s="1"/>
      <c r="B19" s="135" t="s">
        <v>69</v>
      </c>
      <c r="C19" s="136"/>
      <c r="D19" s="136"/>
      <c r="E19" s="136"/>
      <c r="F19" s="137"/>
      <c r="G19" s="23">
        <f>G17*'Fane 15. Nøgletal'!C21+G18*'Fane 15. Nøgletal'!C22</f>
        <v>1895963.1886466683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6" t="s">
        <v>70</v>
      </c>
      <c r="C22" s="127"/>
      <c r="D22" s="127"/>
      <c r="E22" s="127"/>
      <c r="F22" s="127"/>
      <c r="G22" s="127"/>
      <c r="H22" s="128"/>
      <c r="I22" s="1"/>
    </row>
    <row r="23" spans="1:9" x14ac:dyDescent="0.25">
      <c r="A23" s="1"/>
      <c r="B23" s="135" t="s">
        <v>71</v>
      </c>
      <c r="C23" s="136"/>
      <c r="D23" s="136"/>
      <c r="E23" s="136"/>
      <c r="F23" s="137"/>
      <c r="G23" s="23">
        <f>(G17+G18-G19)*(1+'Fane 15. Nøgletal'!C12)</f>
        <v>107608300.33828431</v>
      </c>
      <c r="H23" s="14" t="s">
        <v>3</v>
      </c>
      <c r="I23" s="1"/>
    </row>
    <row r="24" spans="1:9" x14ac:dyDescent="0.25">
      <c r="A24" s="1"/>
      <c r="B24" s="138" t="s">
        <v>72</v>
      </c>
      <c r="C24" s="139"/>
      <c r="D24" s="139"/>
      <c r="E24" s="139"/>
      <c r="F24" s="140"/>
      <c r="G24" s="23">
        <v>4463584.73340136</v>
      </c>
      <c r="H24" s="14" t="s">
        <v>3</v>
      </c>
      <c r="I24" s="1"/>
    </row>
    <row r="25" spans="1:9" x14ac:dyDescent="0.25">
      <c r="A25" s="1"/>
      <c r="B25" s="135" t="s">
        <v>73</v>
      </c>
      <c r="C25" s="136"/>
      <c r="D25" s="136"/>
      <c r="E25" s="136"/>
      <c r="F25" s="137"/>
      <c r="G25" s="23">
        <f>(G23+G24)*'Fane 15. Nøgletal'!C23</f>
        <v>3182841.5360358735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6" t="s">
        <v>74</v>
      </c>
      <c r="C28" s="127"/>
      <c r="D28" s="127"/>
      <c r="E28" s="127"/>
      <c r="F28" s="127"/>
      <c r="G28" s="127"/>
      <c r="H28" s="128"/>
      <c r="I28" s="1"/>
    </row>
    <row r="29" spans="1:9" x14ac:dyDescent="0.25">
      <c r="A29" s="1"/>
      <c r="B29" s="135" t="s">
        <v>75</v>
      </c>
      <c r="C29" s="136"/>
      <c r="D29" s="136"/>
      <c r="E29" s="136"/>
      <c r="F29" s="137"/>
      <c r="G29" s="23">
        <f>(G23+G24-G25)*(1+'Fane 15. Nøgletal'!C12)</f>
        <v>111034157.69330209</v>
      </c>
      <c r="H29" s="14" t="s">
        <v>3</v>
      </c>
      <c r="I29" s="1"/>
    </row>
    <row r="30" spans="1:9" x14ac:dyDescent="0.25">
      <c r="A30" s="1"/>
      <c r="B30" s="135" t="s">
        <v>139</v>
      </c>
      <c r="C30" s="136"/>
      <c r="D30" s="136"/>
      <c r="E30" s="136"/>
      <c r="F30" s="137"/>
      <c r="G30" s="23">
        <v>3009359.1539365198</v>
      </c>
      <c r="H30" s="14" t="s">
        <v>3</v>
      </c>
      <c r="I30" s="1"/>
    </row>
    <row r="31" spans="1:9" x14ac:dyDescent="0.25">
      <c r="A31" s="1"/>
      <c r="B31" s="135" t="s">
        <v>76</v>
      </c>
      <c r="C31" s="136"/>
      <c r="D31" s="136"/>
      <c r="E31" s="136"/>
      <c r="F31" s="137"/>
      <c r="G31" s="23">
        <f>G29*'Fane 15. Nøgletal'!C23+G30*'Fane 15. Nøgletal'!C24</f>
        <v>3236127.4552230337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6" t="s">
        <v>165</v>
      </c>
      <c r="C34" s="127"/>
      <c r="D34" s="127"/>
      <c r="E34" s="127"/>
      <c r="F34" s="127"/>
      <c r="G34" s="127"/>
      <c r="H34" s="128"/>
      <c r="I34" s="1"/>
    </row>
    <row r="35" spans="1:9" x14ac:dyDescent="0.25">
      <c r="A35" s="1"/>
      <c r="B35" s="135" t="s">
        <v>78</v>
      </c>
      <c r="C35" s="136"/>
      <c r="D35" s="136"/>
      <c r="E35" s="136"/>
      <c r="F35" s="137"/>
      <c r="G35" s="23">
        <f>(G29+G30-G31)*(1+'Fane 15. Nøgletal'!C14)</f>
        <v>111173053.77700923</v>
      </c>
      <c r="H35" s="14" t="s">
        <v>3</v>
      </c>
      <c r="I35" s="1"/>
    </row>
    <row r="36" spans="1:9" x14ac:dyDescent="0.25">
      <c r="A36" s="1"/>
      <c r="B36" s="135" t="s">
        <v>167</v>
      </c>
      <c r="C36" s="136"/>
      <c r="D36" s="136"/>
      <c r="E36" s="136"/>
      <c r="F36" s="137"/>
      <c r="G36" s="23">
        <v>3080128.6623110007</v>
      </c>
      <c r="H36" s="14" t="s">
        <v>3</v>
      </c>
      <c r="I36" s="1"/>
    </row>
    <row r="37" spans="1:9" x14ac:dyDescent="0.25">
      <c r="A37" s="1"/>
      <c r="B37" s="135" t="s">
        <v>166</v>
      </c>
      <c r="C37" s="136"/>
      <c r="D37" s="136"/>
      <c r="E37" s="136"/>
      <c r="F37" s="137"/>
      <c r="G37" s="23">
        <f>(G35+G36)*'Fane 15. Nøgletal'!C25</f>
        <v>1690947.1001019396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6" t="s">
        <v>223</v>
      </c>
      <c r="C40" s="127"/>
      <c r="D40" s="127"/>
      <c r="E40" s="127"/>
      <c r="F40" s="127"/>
      <c r="G40" s="127"/>
      <c r="H40" s="128"/>
      <c r="I40" s="1"/>
    </row>
    <row r="41" spans="1:9" x14ac:dyDescent="0.25">
      <c r="A41" s="1"/>
      <c r="B41" s="135" t="s">
        <v>77</v>
      </c>
      <c r="C41" s="136"/>
      <c r="D41" s="136"/>
      <c r="E41" s="136"/>
      <c r="F41" s="137"/>
      <c r="G41" s="23">
        <f>(G35+G36-G37)*(1+'Fane 15. Nøgletal'!C14)</f>
        <v>112933690.71583773</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2896929.5284195202</v>
      </c>
      <c r="H42" s="14" t="s">
        <v>3</v>
      </c>
      <c r="I42" s="1"/>
    </row>
    <row r="43" spans="1:9" x14ac:dyDescent="0.25">
      <c r="A43" s="1"/>
      <c r="B43" s="135" t="s">
        <v>168</v>
      </c>
      <c r="C43" s="136"/>
      <c r="D43" s="136"/>
      <c r="E43" s="136"/>
      <c r="F43" s="137"/>
      <c r="G43" s="23">
        <f>(G41)*'Fane 15. Nøgletal'!C25+G42*'Fane 15. Nøgletal'!C26</f>
        <v>1671418.6225943984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6" t="s">
        <v>244</v>
      </c>
      <c r="C52" s="127"/>
      <c r="D52" s="127"/>
      <c r="E52" s="127"/>
      <c r="F52" s="127"/>
      <c r="G52" s="127"/>
      <c r="H52" s="128"/>
      <c r="I52" s="1"/>
    </row>
    <row r="53" spans="1:9" x14ac:dyDescent="0.25">
      <c r="A53" s="1"/>
      <c r="B53" s="135" t="s">
        <v>140</v>
      </c>
      <c r="C53" s="136"/>
      <c r="D53" s="136"/>
      <c r="E53" s="136"/>
      <c r="F53" s="137"/>
      <c r="G53" s="23">
        <f>(G41+G42-G43)*(1+'Fane 15. Nøgletal'!C15)</f>
        <v>118223269.19939406</v>
      </c>
      <c r="H53" s="14" t="s">
        <v>3</v>
      </c>
      <c r="I53" s="1"/>
    </row>
    <row r="54" spans="1:9" x14ac:dyDescent="0.25">
      <c r="A54" s="1"/>
      <c r="B54" s="135" t="s">
        <v>141</v>
      </c>
      <c r="C54" s="136"/>
      <c r="D54" s="136"/>
      <c r="E54" s="136"/>
      <c r="F54" s="137"/>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6" t="s">
        <v>153</v>
      </c>
      <c r="C57" s="127"/>
      <c r="D57" s="127"/>
      <c r="E57" s="127"/>
      <c r="F57" s="127"/>
      <c r="G57" s="127"/>
      <c r="H57" s="128"/>
      <c r="I57" s="1"/>
    </row>
    <row r="58" spans="1:9" x14ac:dyDescent="0.25">
      <c r="A58" s="1"/>
      <c r="B58" s="135" t="s">
        <v>173</v>
      </c>
      <c r="C58" s="136"/>
      <c r="D58" s="136"/>
      <c r="E58" s="136"/>
      <c r="F58" s="137"/>
      <c r="G58" s="23">
        <f>(G53-G54)*(1+'Fane 15. Nøgletal'!C15)</f>
        <v>122432017.58289249</v>
      </c>
      <c r="H58" s="14" t="s">
        <v>3</v>
      </c>
      <c r="I58" s="1"/>
    </row>
    <row r="59" spans="1:9" x14ac:dyDescent="0.25">
      <c r="A59" s="1"/>
      <c r="B59" s="135" t="s">
        <v>174</v>
      </c>
      <c r="C59" s="136"/>
      <c r="D59" s="136"/>
      <c r="E59" s="136"/>
      <c r="F59" s="137"/>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6" t="s">
        <v>197</v>
      </c>
      <c r="C62" s="127"/>
      <c r="D62" s="127"/>
      <c r="E62" s="127"/>
      <c r="F62" s="127"/>
      <c r="G62" s="127"/>
      <c r="H62" s="128"/>
      <c r="I62" s="1"/>
    </row>
    <row r="63" spans="1:9" x14ac:dyDescent="0.25">
      <c r="A63" s="1"/>
      <c r="B63" s="135" t="s">
        <v>198</v>
      </c>
      <c r="C63" s="136"/>
      <c r="D63" s="136"/>
      <c r="E63" s="136"/>
      <c r="F63" s="137"/>
      <c r="G63" s="23">
        <f>(G58-G59)*(1+'Fane 15. Nøgletal'!C15)</f>
        <v>126790597.40884347</v>
      </c>
      <c r="H63" s="14" t="s">
        <v>3</v>
      </c>
      <c r="I63" s="1"/>
    </row>
    <row r="64" spans="1:9" x14ac:dyDescent="0.25">
      <c r="A64" s="1"/>
      <c r="B64" s="135" t="s">
        <v>199</v>
      </c>
      <c r="C64" s="136"/>
      <c r="D64" s="136"/>
      <c r="E64" s="136"/>
      <c r="F64" s="137"/>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LKprr+WncP5YXGVAGwoEZrvurwxJw2jPrJUV6L/48QkXiDHt5Hm3/bIy6P0l2LvAMDkN8I9vWiABW0UDMCi0tA==" saltValue="HJjIs28rTFhhHmJCuxPZj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8" t="s">
        <v>88</v>
      </c>
      <c r="C3" s="118"/>
      <c r="D3" s="118"/>
      <c r="E3" s="118"/>
      <c r="F3" s="118"/>
      <c r="G3" s="118"/>
      <c r="H3" s="1"/>
    </row>
    <row r="4" spans="1:8" ht="15" customHeight="1" x14ac:dyDescent="0.25">
      <c r="A4" s="1"/>
      <c r="B4" s="118"/>
      <c r="C4" s="118"/>
      <c r="D4" s="118"/>
      <c r="E4" s="118"/>
      <c r="F4" s="118"/>
      <c r="G4" s="11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6" t="s">
        <v>10</v>
      </c>
      <c r="C8" s="127"/>
      <c r="D8" s="127"/>
      <c r="E8" s="127"/>
      <c r="F8" s="127"/>
      <c r="G8" s="127"/>
      <c r="H8" s="1"/>
    </row>
    <row r="9" spans="1:8" x14ac:dyDescent="0.25">
      <c r="A9" s="1"/>
      <c r="B9" s="135" t="s">
        <v>154</v>
      </c>
      <c r="C9" s="136"/>
      <c r="D9" s="136"/>
      <c r="E9" s="136"/>
      <c r="F9" s="137"/>
      <c r="G9" s="36">
        <v>1.0593409116488473E-2</v>
      </c>
      <c r="H9" s="1"/>
    </row>
    <row r="10" spans="1:8" x14ac:dyDescent="0.25">
      <c r="A10" s="1"/>
      <c r="B10" s="33"/>
      <c r="C10" s="28"/>
      <c r="D10" s="28"/>
      <c r="E10" s="28"/>
      <c r="F10" s="28"/>
      <c r="G10" s="28"/>
      <c r="H10" s="1"/>
    </row>
    <row r="11" spans="1:8" ht="29.25" customHeight="1" x14ac:dyDescent="0.25">
      <c r="A11" s="1"/>
      <c r="B11" s="146" t="s">
        <v>238</v>
      </c>
      <c r="C11" s="147"/>
      <c r="D11" s="147"/>
      <c r="E11" s="147"/>
      <c r="F11" s="147"/>
      <c r="G11" s="147"/>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swRxTKjg5NLn8B9CmTOPXGGq00dAbnFkfq4bLYrBfNkkV/36stziMEWNBMq/+4rilHepRjL6t9n6IQSkHmqYug==" saltValue="uBA/ShDBg9IFzv1x7wb/p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2022-12-01T08:23:26Z</dcterms:modified>
</cp:coreProperties>
</file>