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Spildevand\Syddjurs Spildevand AS (S092)\ØR2023\"/>
    </mc:Choice>
  </mc:AlternateContent>
  <bookViews>
    <workbookView xWindow="3120" yWindow="990" windowWidth="12750" windowHeight="4620" tabRatio="872" firstSheet="12" activeTab="19"/>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1" r:id="rId12"/>
    <sheet name="Fane 9. Korrektion af ØR2021"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calcPr calcId="162913" calcMode="manual"/>
</workbook>
</file>

<file path=xl/calcChain.xml><?xml version="1.0" encoding="utf-8"?>
<calcChain xmlns="http://schemas.openxmlformats.org/spreadsheetml/2006/main">
  <c r="C16" i="15" l="1"/>
  <c r="C16" i="22"/>
  <c r="C20" i="23" l="1"/>
  <c r="C20" i="22"/>
  <c r="C20" i="15"/>
  <c r="C32" i="2"/>
  <c r="E24" i="32" l="1"/>
  <c r="E32" i="32" s="1"/>
  <c r="E34" i="32" s="1"/>
  <c r="E28" i="32" l="1"/>
  <c r="C15" i="19"/>
  <c r="E34" i="27" l="1"/>
  <c r="C22" i="23"/>
  <c r="C22" i="22"/>
  <c r="C22" i="15"/>
  <c r="C36" i="2"/>
  <c r="G18" i="41" l="1"/>
  <c r="C11" i="29" l="1"/>
  <c r="E11" i="29"/>
  <c r="E11" i="39"/>
  <c r="C11" i="39"/>
  <c r="J11" i="11"/>
  <c r="H11" i="11"/>
  <c r="E16" i="27" l="1"/>
  <c r="E29" i="20" l="1"/>
  <c r="E23" i="20"/>
  <c r="E17" i="20"/>
  <c r="E11" i="20"/>
  <c r="F10" i="11" l="1"/>
  <c r="F11" i="11" s="1"/>
  <c r="E12" i="29" l="1"/>
  <c r="C12" i="29"/>
  <c r="C12" i="21" l="1"/>
  <c r="C13" i="21" s="1"/>
  <c r="C12" i="2" l="1"/>
  <c r="C15" i="2" l="1"/>
  <c r="C14" i="2"/>
  <c r="G6" i="36" l="1"/>
  <c r="C12" i="39" l="1"/>
  <c r="E12" i="39" l="1"/>
  <c r="C26" i="2" l="1"/>
  <c r="C28" i="2" s="1"/>
  <c r="C27" i="2" l="1"/>
  <c r="C29" i="2" s="1"/>
  <c r="C30" i="2" l="1"/>
  <c r="C16" i="19" l="1"/>
  <c r="E24" i="20"/>
  <c r="E25" i="20" s="1"/>
  <c r="C18" i="22" s="1"/>
  <c r="C16" i="23" l="1"/>
  <c r="C22" i="2"/>
  <c r="E30" i="20" l="1"/>
  <c r="E31" i="20" s="1"/>
  <c r="C18" i="23" s="1"/>
  <c r="E16" i="40" l="1"/>
  <c r="E12" i="40" l="1"/>
  <c r="G7" i="30" l="1"/>
  <c r="G11" i="30" s="1"/>
  <c r="E18" i="20" l="1"/>
  <c r="E19" i="20" s="1"/>
  <c r="C18" i="15" s="1"/>
  <c r="E12" i="20"/>
  <c r="E13" i="20" l="1"/>
  <c r="C24" i="2" s="1"/>
  <c r="E17" i="40"/>
  <c r="C34" i="2" s="1"/>
  <c r="E12" i="21" l="1"/>
  <c r="E13" i="21" s="1"/>
  <c r="C13" i="2" l="1"/>
  <c r="G10" i="36" l="1"/>
  <c r="G13" i="36" l="1"/>
  <c r="G17" i="36" s="1"/>
  <c r="G19" i="36" s="1"/>
  <c r="G15" i="30" l="1"/>
  <c r="G19" i="30" s="1"/>
  <c r="G23" i="36" l="1"/>
  <c r="G25" i="36" s="1"/>
  <c r="G21" i="30"/>
  <c r="G29" i="36" l="1"/>
  <c r="G31" i="36" s="1"/>
  <c r="G25" i="30"/>
  <c r="C10" i="37" l="1"/>
  <c r="C13" i="37" s="1"/>
  <c r="C14" i="37" l="1"/>
  <c r="C10" i="2" s="1"/>
  <c r="G44" i="30" s="1"/>
  <c r="G35" i="36"/>
  <c r="G37" i="36" l="1"/>
  <c r="E19" i="27" s="1"/>
  <c r="G41" i="36" l="1"/>
  <c r="G27" i="30"/>
  <c r="G31" i="30" l="1"/>
  <c r="E10" i="37"/>
  <c r="E13" i="37" s="1"/>
  <c r="G33" i="30" l="1"/>
  <c r="G37" i="30" s="1"/>
  <c r="G39" i="30" s="1"/>
  <c r="E14" i="37"/>
  <c r="C11" i="2" l="1"/>
  <c r="G42" i="36" s="1"/>
  <c r="G43" i="36" s="1"/>
  <c r="G53" i="36" l="1"/>
  <c r="G54" i="36" l="1"/>
  <c r="G58" i="36" s="1"/>
  <c r="G43" i="30"/>
  <c r="G45" i="30" s="1"/>
  <c r="E18" i="27"/>
  <c r="E20" i="27" s="1"/>
  <c r="E35" i="27" s="1"/>
  <c r="C19" i="2"/>
  <c r="G59" i="36" l="1"/>
  <c r="G63" i="36" s="1"/>
  <c r="G64" i="36" s="1"/>
  <c r="G52" i="30"/>
  <c r="C18" i="2"/>
  <c r="C9" i="2"/>
  <c r="C13" i="15"/>
  <c r="G53" i="30" l="1"/>
  <c r="G57" i="30" s="1"/>
  <c r="C16" i="2"/>
  <c r="C17" i="2" s="1"/>
  <c r="G58" i="30" l="1"/>
  <c r="G62" i="30" s="1"/>
  <c r="G63" i="30" s="1"/>
  <c r="C12" i="15"/>
  <c r="C13" i="23" l="1"/>
  <c r="C20" i="2"/>
  <c r="C37" i="2" s="1"/>
  <c r="C13" i="22"/>
  <c r="C12" i="23" l="1"/>
  <c r="C12" i="22"/>
  <c r="C9" i="15"/>
  <c r="C10" i="15" s="1"/>
  <c r="C11" i="15" l="1"/>
  <c r="C14" i="15" s="1"/>
  <c r="C23" i="15" s="1"/>
  <c r="C9" i="22" l="1"/>
  <c r="C10" i="22" l="1"/>
  <c r="C11" i="22" s="1"/>
  <c r="C14" i="22" s="1"/>
  <c r="C23" i="22" s="1"/>
  <c r="C9" i="23" l="1"/>
  <c r="C10" i="23" l="1"/>
  <c r="C11" i="23" s="1"/>
  <c r="C14" i="23" s="1"/>
  <c r="C23" i="23" s="1"/>
</calcChain>
</file>

<file path=xl/sharedStrings.xml><?xml version="1.0" encoding="utf-8"?>
<sst xmlns="http://schemas.openxmlformats.org/spreadsheetml/2006/main" count="612" uniqueCount="291">
  <si>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</si>
  <si>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</si>
  <si>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</si>
  <si>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</si>
  <si>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</si>
  <si>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</si>
  <si>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</si>
  <si>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</si>
  <si>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</si>
  <si>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</si>
  <si>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</si>
  <si>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</si>
  <si>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</si>
  <si>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</si>
  <si>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</si>
  <si>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</si>
  <si>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</si>
  <si>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</si>
  <si>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</si>
  <si>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</si>
  <si>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</si>
  <si>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</si>
  <si>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Vejledende</t>
  </si>
  <si>
    <t>Prisudvikling til brug for nye omkostninger i ØR2019</t>
  </si>
  <si>
    <t>Generelt effektiviseringskrav - Drift</t>
  </si>
  <si>
    <t>Generelt effektiviseringskrav - Anlæg</t>
  </si>
  <si>
    <t>Bortfald eller nedsættelse af omkostninger - Anlæg</t>
  </si>
  <si>
    <t>Bortfald eller nedsættelse af omkostninger - Drift</t>
  </si>
  <si>
    <t>Tidligere tilknyttet aktivitet - Anlæg</t>
  </si>
  <si>
    <t>Tidligere tilknyttet aktivitet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</si>
  <si>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</si>
  <si>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</si>
  <si>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</si>
  <si>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</si>
  <si>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</si>
  <si>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</si>
  <si>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</si>
  <si>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</si>
  <si>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</si>
  <si>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</si>
  <si>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</si>
  <si>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</si>
  <si>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</si>
  <si>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</si>
  <si>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</si>
  <si>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</si>
  <si>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</si>
  <si>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</si>
  <si>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</si>
  <si>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</si>
  <si>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</si>
  <si>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</si>
  <si>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</si>
  <si>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</si>
  <si>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</si>
  <si>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</si>
  <si>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</si>
  <si>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</si>
  <si>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Generelt effektiviseringskrav til driftsomkostninger i de økonomiske rammer for 2021</t>
  </si>
  <si>
    <t>Base for driftsomkostninger til de økonomiske rammer for 2021</t>
  </si>
  <si>
    <t>Generelt effektiviseringskrav til driftsomkostningerne i ØR21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</si>
  <si>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</si>
  <si>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</si>
  <si>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</si>
  <si>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</si>
  <si>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</si>
  <si>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</si>
  <si>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</si>
  <si>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</si>
  <si>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</si>
  <si>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</si>
  <si>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</si>
  <si>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</si>
  <si>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</si>
  <si>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Generelt effektiviseringskrav til anlægsomkostninger i de økonomiske rammer for 2021</t>
  </si>
  <si>
    <t>Base for anlægsomkostninger til de økonomiske rammer for 2021</t>
  </si>
  <si>
    <t>Generelt effektiviseringskrav til anlægsomkostningerne i ØR21</t>
  </si>
  <si>
    <t>Base for anlægsomkostninger til de vejledende økonomiske rammer for 2023</t>
  </si>
  <si>
    <t>Base for anlægsomkostninger til de vejledende økonomiske rammer for 2022</t>
  </si>
  <si>
    <t>Base for driftsomkostninger til de vejledende økonomiske rammer for 2022</t>
  </si>
  <si>
    <t>Nye varige tillæg</t>
  </si>
  <si>
    <t>Engangstillæg - Drift</t>
  </si>
  <si>
    <t>Engangstillæg - Anlæg</t>
  </si>
  <si>
    <t>Fane 7</t>
  </si>
  <si>
    <t>Varige tillæg</t>
  </si>
  <si>
    <t>Engangstillæg</t>
  </si>
  <si>
    <t>Periodevise driftsomkostninger</t>
  </si>
  <si>
    <t>Engangstillæg i alt</t>
  </si>
  <si>
    <t>Fane 5: Individuelt effektiviseringskrav</t>
  </si>
  <si>
    <t>Bortfald eller nedsættelse i alt i 2022-prisniveau</t>
  </si>
  <si>
    <t>Økonomisk ramme for 2023</t>
  </si>
  <si>
    <t>Periodevise driftsomkostninger til de økonomiske rammer for 2023</t>
  </si>
  <si>
    <t>Periodevise driftsomkostninger i alt i 2023-prisniveau</t>
  </si>
  <si>
    <t>Bortfald eller nedsættelse fra og med de økonomiske rammer for 2023</t>
  </si>
  <si>
    <t>Korrektion af tidligere godkendte omkostninger til medfinansiering af klimatilpasningsprojekter</t>
  </si>
  <si>
    <t>Generelt effektiviseringskrav på drift</t>
  </si>
  <si>
    <t>Generelt effektiviseringskrav på anlæg</t>
  </si>
  <si>
    <t>Engangstillæg til de økonomiske rammer for 2023</t>
  </si>
  <si>
    <t>Tillæg til tilbagebetaling af vejbidrag</t>
  </si>
  <si>
    <t>Tillæg til den økonomiske ramme for 2023</t>
  </si>
  <si>
    <t>Samlede tillæg til periodevise driftsomkostninger jf. indmeldte oprensningsplan</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</si>
  <si>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</si>
  <si>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</si>
  <si>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</si>
  <si>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</si>
  <si>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</si>
  <si>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</si>
  <si>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</si>
  <si>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</si>
  <si>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</si>
  <si>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</si>
  <si>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</si>
  <si>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Prisudvikling til brug for ØR2017</t>
  </si>
  <si>
    <t>Prisudvikling til brug for ØR2018-2019</t>
  </si>
  <si>
    <t>Generelt effektiviseringskrav til brug for anlægsomkostninger i ØR2017</t>
  </si>
  <si>
    <t>Generelt effektiviseringskrav til brug for anlægsomkostninger i ØR2020-2021</t>
  </si>
  <si>
    <t>Generelt effektiviseringskrav til brug for driftsomkostninger</t>
  </si>
  <si>
    <t>Tillæg til medfinansieringsprojekter godkendt under prisloftsbekendtgørelsen</t>
  </si>
  <si>
    <t>Periodevise driftsomkostninger i den økonomiske ramme for 2018</t>
  </si>
  <si>
    <t>Fane 3</t>
  </si>
  <si>
    <t>Periodevise driftsomkostninger i den økonomiske ramme for 2017</t>
  </si>
  <si>
    <t>Korrektion af driftsomkostninger i grundlaget</t>
  </si>
  <si>
    <t>Korrektion af anlægsomkostninger i grundlaget</t>
  </si>
  <si>
    <t>Korrektion af den økonomiske ramme for 2019</t>
  </si>
  <si>
    <t>Tidligere tilknyttet virksomhed - Drift</t>
  </si>
  <si>
    <t>Tidligere tilknyttet virksomhed - Anlæg</t>
  </si>
  <si>
    <t>Videreførte omkostninger fra den økonomiske ramme for 2022</t>
  </si>
  <si>
    <t>Videreførte omkostninger fra den økonomiske ramme for 2023</t>
  </si>
  <si>
    <t>Økonomisk ramme for 2024</t>
  </si>
  <si>
    <t>Tillæg til den økonomiske ramme for 2024</t>
  </si>
  <si>
    <t>Periodevise driftsomkostninger til de økonomiske rammer for 2024</t>
  </si>
  <si>
    <t>Periodevise driftsomkostninger i alt i 2024-prisniveau</t>
  </si>
  <si>
    <t>Tilknyttet virksomhed under hovedvirksomheden</t>
  </si>
  <si>
    <t>Beskrivelse af tilknyttet virksomhed</t>
  </si>
  <si>
    <t>Tilknyttet virksomhed</t>
  </si>
  <si>
    <t>Prisudvikling til brug for nye omkostninger i ØR2021</t>
  </si>
  <si>
    <t>Engangstillæg i alt i 2023-prisniveau</t>
  </si>
  <si>
    <t>Nye driftsomkostninger til de økonomiske rammer for 2021</t>
  </si>
  <si>
    <t>Vejledende generelt effektiviseringskrav til driftsomkostningerne i ØR24</t>
  </si>
  <si>
    <t>Nye anlægsomkostninger til de økonomiske rammer for 2021</t>
  </si>
  <si>
    <t>Base for anlægsomkostninger til de vejledende økonomiske rammer for 2024</t>
  </si>
  <si>
    <t>Vejledende generelt effektiviseringskrav til anlægsomkostningerne i ØR24</t>
  </si>
  <si>
    <t>Fradrag for kontrol af den økonomiske ramme</t>
  </si>
  <si>
    <t>Kontrol med overholdelse af økonomiske rammer</t>
  </si>
  <si>
    <t>Kontrol med de økonomiske rammer til indregning</t>
  </si>
  <si>
    <t>Generelt effektiviseringskrav til brug for anlægsomkostninger i ØR2018</t>
  </si>
  <si>
    <t>Generelt effektiviseringskrav til brug for anlægsomkostninger i ØR2019</t>
  </si>
  <si>
    <t>Generelt effektiviseringskrav til brug for anlægsomkostninger i ØR2021</t>
  </si>
  <si>
    <t>Generelt effektiviseringskrav til brug for anlægsomkostninger i ØR2022</t>
  </si>
  <si>
    <t>Økonomisk ramme for 2025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</si>
  <si>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</si>
  <si>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</si>
  <si>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</si>
  <si>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Generelt effektiviseringskrav til anlægsomkostninger i de vejledende økonomiske rammer for 2025</t>
  </si>
  <si>
    <t>Individuelt effektiviseringskrav til de økonomiske rammer for 2022-2023</t>
  </si>
  <si>
    <t>Tillæg til den økonomiske ramme for 2025</t>
  </si>
  <si>
    <t>Nye tillæg i alt i 2021-prisniveau</t>
  </si>
  <si>
    <t>Periodevise driftsomkostninger til de økonomiske rammer for 2025</t>
  </si>
  <si>
    <t>Periodevise driftsomkostninger i alt i 2025-prisniveau</t>
  </si>
  <si>
    <t>Tilknyttet virksomhed under hovedvirksomheden i alt (2021-prisniveau)</t>
  </si>
  <si>
    <t>Generelt effektiviseringskrav til driftsomkostninger i de økonomiske rammer for 2022</t>
  </si>
  <si>
    <t>Generelt effektiviseringskrav til driftsomkostninger i de økonomiske rammer for 2023</t>
  </si>
  <si>
    <t>Generelt effektiviseringskrav til driftsomkostningerne i ØR22</t>
  </si>
  <si>
    <t>Generelt effektiviseringskrav til driftsomkostningerne i ØR23</t>
  </si>
  <si>
    <t>Nye driftsomkostninger til de økonomiske rammer for 2022</t>
  </si>
  <si>
    <t>Generelt effektiviseringskrav til anlægsomkostninger i de økonomiske rammer for 2022</t>
  </si>
  <si>
    <t>Generelt effektiviseringskrav til anlægsomkostningerne i ØR22</t>
  </si>
  <si>
    <t>Nye anlægsomkostninger til de økonomiske rammer for 2022</t>
  </si>
  <si>
    <t>Generelt effektiviseringskrav til anlægsomkostningerne i ØR23</t>
  </si>
  <si>
    <t>Samlet økonomisk ramme for 2023</t>
  </si>
  <si>
    <t>Vejledende økonomisk ramme for 2025</t>
  </si>
  <si>
    <t>Prisudvikling til brug for ØR2022-2023</t>
  </si>
  <si>
    <t>Prisudvikling til brug for nye omkostninger i ØR2020</t>
  </si>
  <si>
    <t>Base for anlægsomkostninger til de vejledende økonomiske rammer for 2025</t>
  </si>
  <si>
    <t>Vejledende generelt effektiviseringskrav til anlægsomkostningerne i ØR25</t>
  </si>
  <si>
    <t xml:space="preserve">Indtægter fra tilbagebetalt skat eller sambeskatningsbidrag som følge af skattesagen </t>
  </si>
  <si>
    <t xml:space="preserve">Nedsættelse af økonomisk ramme som følge af skattesagen </t>
  </si>
  <si>
    <t>Ingen bortfald eller nedsættelse</t>
  </si>
  <si>
    <t>Tidligere opgjorte over/underdækninger</t>
  </si>
  <si>
    <t>Allerede indregnet fradrag i jeres økonomiske rammer</t>
  </si>
  <si>
    <t>Kontrol med overholdelse af den økonomiske ramme</t>
  </si>
  <si>
    <t>Fane 2.1: Samlet økonomisk ramme for 2023</t>
  </si>
  <si>
    <t>Vejledende økonomisk ramme for 2026</t>
  </si>
  <si>
    <t>Omkostninger i ØR2022</t>
  </si>
  <si>
    <t>Kontrol af den økonomiske ramme for 2021</t>
  </si>
  <si>
    <t>Korrektion af den økonomiske ramme for 2021</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</si>
  <si>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</si>
  <si>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</si>
  <si>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</si>
  <si>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</si>
  <si>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</si>
  <si>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</si>
  <si>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Videreførte omkostninger fra den økonomiske ramme for 2021</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</si>
  <si>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</si>
  <si>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</si>
  <si>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</si>
  <si>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</si>
  <si>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</si>
  <si>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</si>
  <si>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Faktiske ikke-påvirkelige omkostninger i 2021</t>
  </si>
  <si>
    <t>Ikke-påvirkelige omkostninger i 2021-prisniveau</t>
  </si>
  <si>
    <t>Ikke-påvirkelige omkostninger i 2023-prisniveau</t>
  </si>
  <si>
    <t>Tillæg til den økonomiske ramme for 2026</t>
  </si>
  <si>
    <t>Fane 7: Kontrol med overholdelse af den økonomiske ramme for 2021</t>
  </si>
  <si>
    <t>Over/underdækning i 2020</t>
  </si>
  <si>
    <t>Kontrol med overholdelse af den økonomiske ramme for 2021</t>
  </si>
  <si>
    <t>Indtægtsramme i den økonomiske ramme for 2021</t>
  </si>
  <si>
    <t>Faktiske indtægter i 2021</t>
  </si>
  <si>
    <t>Korrektion af periodevise driftsomkostninger i de økonomiske rammer for 2021</t>
  </si>
  <si>
    <t>Faktisk periodevis driftsomkostning i 2021</t>
  </si>
  <si>
    <t>Tidligere godkendt tillæg indregnet i den økonomiske ramme for 2021</t>
  </si>
  <si>
    <t>Faktisk omkostning til medfinansiering af klimatilpasningsprojekter i 2021</t>
  </si>
  <si>
    <t>Korrektioner af den økonomiske ramme for 2021 i alt</t>
  </si>
  <si>
    <t>Nye tillæg i alt i 2022-prisniveau</t>
  </si>
  <si>
    <t>Periodevise driftsomkostninger til de økonomiske rammer for 2026</t>
  </si>
  <si>
    <t>Periodevise driftsomkostninger i alt i 2026-prisniveau</t>
  </si>
  <si>
    <t>Generelt effektiviseringskrav til brug for anlægsomkostninger i ØR2023</t>
  </si>
  <si>
    <t>Tilknyttet virksomhed under hovedvirksomheden i alt (2022-prisniveau)</t>
  </si>
  <si>
    <t>Økonomisk ramme for 2022</t>
  </si>
  <si>
    <t>Anlægsprojekter igangsat senest den 1. marts 2016</t>
  </si>
  <si>
    <t>Anlægsprojekter igangsat senest den 1. marts 2016 i alt</t>
  </si>
  <si>
    <t>Generelt effektiviseringskrav til anlægsomkostninger i de økonomiske rammer for 2023</t>
  </si>
  <si>
    <t xml:space="preserve">Note: Denne opgørelse er taget fra jeres økonomiske ramme for 2022. I kan derfor ikke komme med høringssvar til denne opgørelse. </t>
  </si>
  <si>
    <t>Prisudvikling til brug for ØR2023-2024</t>
  </si>
  <si>
    <t>Periodevise driftsomkostninger i alt i 2021-prisniveau</t>
  </si>
  <si>
    <t>Til statusmeddelelse for 2023</t>
  </si>
  <si>
    <t>Anlægsprojekter igangsat senest 1. marts 2016</t>
  </si>
  <si>
    <t>Base for driftsomkostninger til de økonomiske rammer for 2024</t>
  </si>
  <si>
    <t>Base for driftsomkostninger til de økonomiske rammer for 2023</t>
  </si>
  <si>
    <t>Nye varige anlægsomkostninger til de økonomiske rammer for 2023</t>
  </si>
  <si>
    <t>Nye varige driftsomkostninger til de økonomiske rammer for 2023</t>
  </si>
  <si>
    <t xml:space="preserve">Engangstillæg - Drift </t>
  </si>
  <si>
    <t>Engangstillæg i alt i 2021-prisniveau</t>
  </si>
  <si>
    <t>Videreførte omkostninger fra den økonomiske ramme for 2024</t>
  </si>
  <si>
    <t>Bortfald eller nedsættelse i alt i 2021-prisniveau</t>
  </si>
  <si>
    <t>Vejledende økonomisk ramme for 2024</t>
  </si>
  <si>
    <t xml:space="preserve">Note: Denne opgørelse er taget fra jeres afgørelse for den økonomiske ramme for 2022. I kan derfor ikke komme med høringssvar til denne opgørelse. </t>
  </si>
  <si>
    <t xml:space="preserve">Anlægsprojekter (§ 19) </t>
  </si>
  <si>
    <t>Effektiviseringskrav (generelt og individuelt) - Drift</t>
  </si>
  <si>
    <t>Effektiviseringskrav (generelt og individuelt) - Anlæg</t>
  </si>
  <si>
    <t>Omkostninger i 2021</t>
  </si>
  <si>
    <t>Generelt effektiviseringskrav til driftsomkostninger i de vejledende økonomiske rammer for 2024</t>
  </si>
  <si>
    <t>Generelt effektiviseringskrav til anlægsomkostninger i de vejledende økonomiske rammer for 2024</t>
  </si>
  <si>
    <t xml:space="preserve">kr. </t>
  </si>
  <si>
    <t>Drifts-omkostninger</t>
  </si>
  <si>
    <t>Anskaffelses-pris</t>
  </si>
  <si>
    <t>Fane 10</t>
  </si>
  <si>
    <t>Fane 11.1</t>
  </si>
  <si>
    <t>Fane 11.2</t>
  </si>
  <si>
    <t>Fane 15</t>
  </si>
  <si>
    <t>Fane 8: Indtægter til tilbagebetaling som følge af skattesagen</t>
  </si>
  <si>
    <t>Fradrag i de økonomiske ramme i årene</t>
  </si>
  <si>
    <t>Samlet tilbagebetaling</t>
  </si>
  <si>
    <t>Skattesagen</t>
  </si>
  <si>
    <t>Fane 9: Korrektioner af den økonomiske ramme for 2021</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</si>
  <si>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</si>
  <si>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</si>
  <si>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</si>
  <si>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</si>
  <si>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</si>
  <si>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</si>
  <si>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</si>
  <si>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</si>
  <si>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Korrigeret over/underdækning i 2020</t>
  </si>
  <si>
    <t>Til indregning i de økonomiske rammer for 2024-2027</t>
  </si>
  <si>
    <t>Spildevandsafgift</t>
  </si>
  <si>
    <t>Afgift til Forsyningssekretariatet</t>
  </si>
  <si>
    <t>Køb af ydelser og produkter fra andre vandselskaber reguleret af vandsektorloven</t>
  </si>
  <si>
    <t>Ejendomsskatter</t>
  </si>
  <si>
    <t>Undersøgelsesudgifter i forbindelse med fusion</t>
  </si>
  <si>
    <t>Resultat af kontrol med overholdelse af den økonomiske ramme for 2021</t>
  </si>
  <si>
    <t>Ingen tilknyttet virksomhed under hovedvirksomheden</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</si>
  <si>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</si>
  <si>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</si>
  <si>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</si>
  <si>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</si>
  <si>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</si>
  <si>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</si>
  <si>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</si>
  <si>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</si>
  <si>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</si>
  <si>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Ingen anlægsprojekter</t>
  </si>
  <si>
    <t>Indregnet fradrag i økonomisk ramme for 2022</t>
  </si>
  <si>
    <t>Indregnet fradrag i økonomisk ramme for 2023</t>
  </si>
  <si>
    <t>Korrektion af fradrag i den økonomiske ramme for 2023</t>
  </si>
  <si>
    <t>Tillæg/fradrag i den økonnomiske ramme for 2023</t>
  </si>
  <si>
    <t>Separeringsprojekter</t>
  </si>
  <si>
    <t>Ingen engangstillæg</t>
  </si>
  <si>
    <t>Oversigt over den økonomiske ramme for 2022</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</si>
  <si>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</si>
  <si>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Note: Opgørelsen af over/underdækningen er taget fra jeres tidligere fremsendte økonomiske rammer og statusmeddelelser. I kan derfor ikke komme med høringssvar til denne opgørelse.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</si>
</sst>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_ * #,##0.00_ ;_ * \-#,##0.00_ ;_ * &quot;-&quot;??_ ;_ @_ "/>
    <numFmt numFmtId="165"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
      <b/>
      <sz val="10"/>
      <color theme="1"/>
      <name val="Times New Roman"/>
      <family val="1"/>
    </font>
  </fonts>
  <fills count="11">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
      <patternFill patternType="solid">
        <fgColor rgb="FFFFFFFF"/>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6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10" fontId="8" fillId="0" borderId="3" xfId="4" applyNumberFormat="1" applyFont="1" applyFill="1" applyBorder="1" applyAlignment="1" applyProtection="1"/>
    <xf numFmtId="10" fontId="8" fillId="0" borderId="1" xfId="4" applyNumberFormat="1" applyFont="1" applyFill="1" applyBorder="1" applyProtection="1"/>
    <xf numFmtId="0" fontId="2" fillId="2" borderId="0" xfId="0" applyFont="1" applyFill="1" applyAlignment="1" applyProtection="1">
      <alignment vertical="center" wrapText="1"/>
    </xf>
    <xf numFmtId="0" fontId="8" fillId="4" borderId="6" xfId="0" applyFont="1" applyFill="1" applyBorder="1" applyAlignment="1" applyProtection="1"/>
    <xf numFmtId="0" fontId="8" fillId="4" borderId="3" xfId="0" applyFont="1" applyFill="1" applyBorder="1" applyAlignment="1" applyProtection="1"/>
    <xf numFmtId="3" fontId="8" fillId="4" borderId="2" xfId="0" applyNumberFormat="1" applyFont="1" applyFill="1" applyBorder="1" applyProtection="1"/>
    <xf numFmtId="0" fontId="8" fillId="8" borderId="3" xfId="0" applyFont="1" applyFill="1" applyBorder="1" applyProtection="1"/>
    <xf numFmtId="1" fontId="8" fillId="0" borderId="1" xfId="0" applyNumberFormat="1" applyFont="1" applyFill="1" applyBorder="1" applyProtection="1"/>
    <xf numFmtId="10" fontId="8" fillId="0" borderId="1" xfId="4" applyNumberFormat="1" applyFont="1" applyFill="1" applyBorder="1" applyAlignment="1" applyProtection="1"/>
    <xf numFmtId="49" fontId="8" fillId="0" borderId="2" xfId="0" applyNumberFormat="1" applyFont="1" applyFill="1" applyBorder="1" applyAlignment="1" applyProtection="1">
      <alignment horizontal="left"/>
    </xf>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3" fontId="0" fillId="2" borderId="0" xfId="0" applyNumberFormat="1" applyFill="1" applyProtection="1"/>
    <xf numFmtId="0" fontId="0" fillId="0" borderId="0" xfId="0" applyFill="1" applyProtection="1"/>
    <xf numFmtId="0" fontId="0" fillId="0" borderId="0" xfId="0" applyFill="1" applyBorder="1" applyProtection="1"/>
    <xf numFmtId="3" fontId="15" fillId="4" borderId="1" xfId="0" applyNumberFormat="1" applyFont="1" applyFill="1" applyBorder="1" applyProtection="1"/>
    <xf numFmtId="0" fontId="15" fillId="4" borderId="1" xfId="0" applyFont="1" applyFill="1" applyBorder="1" applyAlignment="1" applyProtection="1">
      <alignment wrapText="1"/>
    </xf>
    <xf numFmtId="0" fontId="15" fillId="4" borderId="2" xfId="0" applyFont="1" applyFill="1" applyBorder="1" applyAlignment="1" applyProtection="1">
      <alignment horizontal="left"/>
    </xf>
    <xf numFmtId="3" fontId="7" fillId="3" borderId="2" xfId="0" applyNumberFormat="1" applyFont="1" applyFill="1" applyBorder="1" applyAlignment="1" applyProtection="1"/>
    <xf numFmtId="0" fontId="8" fillId="4" borderId="1" xfId="0" applyFont="1" applyFill="1" applyBorder="1" applyAlignment="1" applyProtection="1">
      <alignment horizontal="left" wrapText="1"/>
    </xf>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10" fontId="8" fillId="10" borderId="3" xfId="4" applyNumberFormat="1" applyFont="1" applyFill="1" applyBorder="1" applyAlignment="1" applyProtection="1"/>
    <xf numFmtId="10" fontId="8" fillId="10" borderId="3" xfId="4" applyNumberFormat="1" applyFont="1" applyFill="1" applyBorder="1" applyProtection="1"/>
    <xf numFmtId="3" fontId="8" fillId="4" borderId="3" xfId="0" applyNumberFormat="1" applyFont="1" applyFill="1" applyBorder="1" applyAlignment="1" applyProtection="1">
      <alignment horizontal="right"/>
    </xf>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165" fontId="8" fillId="8" borderId="2" xfId="1" quotePrefix="1" applyNumberFormat="1" applyFont="1" applyFill="1" applyBorder="1" applyAlignment="1" applyProtection="1">
      <alignment horizontal="right" wrapText="1"/>
    </xf>
    <xf numFmtId="165" fontId="8" fillId="8" borderId="1" xfId="1" applyNumberFormat="1" applyFont="1" applyFill="1" applyBorder="1" applyProtection="1"/>
    <xf numFmtId="165" fontId="8" fillId="8" borderId="1" xfId="0" applyNumberFormat="1" applyFont="1" applyFill="1" applyBorder="1" applyProtection="1"/>
    <xf numFmtId="165" fontId="7" fillId="3" borderId="6" xfId="0" applyNumberFormat="1" applyFont="1" applyFill="1" applyBorder="1" applyAlignment="1" applyProtection="1"/>
    <xf numFmtId="165" fontId="0" fillId="2" borderId="0" xfId="0" applyNumberFormat="1" applyFill="1" applyProtection="1"/>
    <xf numFmtId="165" fontId="8" fillId="0" borderId="1" xfId="1" applyNumberFormat="1" applyFont="1" applyFill="1" applyBorder="1" applyProtection="1"/>
    <xf numFmtId="0" fontId="13" fillId="2" borderId="0" xfId="0" applyFont="1" applyFill="1" applyAlignment="1" applyProtection="1">
      <alignment horizontal="center"/>
    </xf>
    <xf numFmtId="0" fontId="8" fillId="8" borderId="2"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1" xfId="0" applyFont="1" applyFill="1" applyBorder="1" applyAlignment="1" applyProtection="1">
      <alignment horizontal="left"/>
    </xf>
    <xf numFmtId="0" fontId="8" fillId="4" borderId="3"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2" fillId="2" borderId="0" xfId="0" applyFont="1" applyFill="1" applyAlignment="1" applyProtection="1">
      <alignment horizontal="center" vertical="center" wrapText="1"/>
    </xf>
    <xf numFmtId="0" fontId="8" fillId="8" borderId="2" xfId="0" quotePrefix="1" applyFont="1" applyFill="1" applyBorder="1" applyAlignment="1" applyProtection="1">
      <alignment horizontal="left" wrapText="1"/>
    </xf>
    <xf numFmtId="0" fontId="8" fillId="8" borderId="6" xfId="0" quotePrefix="1" applyFont="1" applyFill="1" applyBorder="1" applyAlignment="1" applyProtection="1">
      <alignment horizontal="left" wrapText="1"/>
    </xf>
    <xf numFmtId="0" fontId="8" fillId="8" borderId="3" xfId="0" quotePrefix="1"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165" fontId="7" fillId="3" borderId="6" xfId="0" applyNumberFormat="1" applyFont="1" applyFill="1" applyBorder="1" applyAlignment="1" applyProtection="1">
      <alignment horizontal="left"/>
    </xf>
    <xf numFmtId="0" fontId="8" fillId="8" borderId="2" xfId="0" quotePrefix="1" applyFont="1" applyFill="1" applyBorder="1" applyAlignment="1" applyProtection="1"/>
    <xf numFmtId="0" fontId="8" fillId="8" borderId="6" xfId="0" quotePrefix="1" applyFont="1" applyFill="1" applyBorder="1" applyAlignment="1" applyProtection="1"/>
    <xf numFmtId="0" fontId="8" fillId="8" borderId="3" xfId="0" quotePrefix="1" applyFont="1" applyFill="1" applyBorder="1" applyAlignment="1" applyProtection="1"/>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0" fontId="2" fillId="2" borderId="0" xfId="0" applyFont="1" applyFill="1" applyAlignment="1" applyProtection="1">
      <alignment horizontal="center" wrapText="1"/>
    </xf>
    <xf numFmtId="0" fontId="2" fillId="2" borderId="7" xfId="0" applyFont="1" applyFill="1" applyBorder="1" applyAlignment="1" applyProtection="1">
      <alignment horizontal="center" wrapText="1"/>
    </xf>
    <xf numFmtId="0" fontId="8" fillId="8" borderId="2" xfId="0" applyFont="1" applyFill="1" applyBorder="1" applyAlignment="1" applyProtection="1">
      <alignment horizontal="center" vertical="top" wrapText="1"/>
    </xf>
    <xf numFmtId="0" fontId="8" fillId="8" borderId="6" xfId="0" applyFont="1" applyFill="1" applyBorder="1" applyAlignment="1" applyProtection="1">
      <alignment horizontal="center" vertical="top" wrapText="1"/>
    </xf>
    <xf numFmtId="0" fontId="8" fillId="8" borderId="3" xfId="0" applyFont="1" applyFill="1" applyBorder="1" applyAlignment="1" applyProtection="1">
      <alignment horizontal="center" vertical="top"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left" vertical="center" wrapText="1"/>
    </xf>
    <xf numFmtId="0" fontId="8" fillId="4" borderId="3" xfId="0" applyFont="1" applyFill="1" applyBorder="1" applyAlignment="1" applyProtection="1">
      <alignment horizontal="left" vertical="center" wrapText="1"/>
    </xf>
    <xf numFmtId="0" fontId="7" fillId="2" borderId="0" xfId="0" applyFont="1" applyFill="1" applyBorder="1" applyAlignment="1" applyProtection="1">
      <alignment horizontal="left"/>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F2DCDB"/>
      <color rgb="FFD9D9D9"/>
      <color rgb="FF650816"/>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48"/>
  <sheetViews>
    <sheetView showGridLines="0" view="pageLayout" zoomScale="85" zoomScaleNormal="100" zoomScalePageLayoutView="85" workbookViewId="0">
      <selection activeCell="B45" sqref="B45"/>
    </sheetView>
  </sheetViews>
  <sheetFormatPr defaultColWidth="9.140625" defaultRowHeight="15" x14ac:dyDescent="0.25"/>
  <cols>
    <col min="1" max="1" width="9.140625" style="2"/>
    <col min="2" max="2" width="5.85546875" style="2" customWidth="1"/>
    <col min="3" max="4" width="9.140625" style="2"/>
    <col min="5" max="5" width="11.7109375" style="2" customWidth="1"/>
    <col min="6" max="6" width="11.5703125" style="2" customWidth="1"/>
    <col min="7" max="8" width="9.140625" style="2"/>
    <col min="9" max="9" width="12.140625" style="2" customWidth="1"/>
    <col min="10" max="16384" width="9.140625"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110" t="s">
        <v>4</v>
      </c>
      <c r="E6" s="110"/>
      <c r="F6" s="110"/>
      <c r="G6" s="110"/>
      <c r="H6" s="3"/>
      <c r="I6" s="1"/>
    </row>
    <row r="7" spans="1:9" ht="15" customHeight="1" x14ac:dyDescent="0.25">
      <c r="A7" s="1"/>
      <c r="B7" s="1"/>
      <c r="C7" s="3"/>
      <c r="D7" s="110"/>
      <c r="E7" s="110"/>
      <c r="F7" s="110"/>
      <c r="G7" s="110"/>
      <c r="H7" s="3"/>
      <c r="I7" s="1"/>
    </row>
    <row r="8" spans="1:9" ht="15.75" x14ac:dyDescent="0.25">
      <c r="A8" s="1"/>
      <c r="B8" s="1"/>
      <c r="C8" s="4"/>
      <c r="D8" s="115" t="s">
        <v>225</v>
      </c>
      <c r="E8" s="115"/>
      <c r="F8" s="115"/>
      <c r="G8" s="115"/>
      <c r="H8" s="4"/>
      <c r="I8" s="5"/>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114" t="s">
        <v>5</v>
      </c>
      <c r="E11" s="114"/>
      <c r="F11" s="114"/>
      <c r="G11" s="114"/>
      <c r="H11" s="5"/>
      <c r="I11" s="1"/>
    </row>
    <row r="12" spans="1:9" x14ac:dyDescent="0.25">
      <c r="A12" s="1"/>
      <c r="B12" s="1"/>
      <c r="C12" s="1"/>
      <c r="D12" s="1"/>
      <c r="E12" s="1"/>
      <c r="F12" s="1"/>
      <c r="G12" s="1"/>
      <c r="H12" s="5"/>
      <c r="I12" s="1"/>
    </row>
    <row r="13" spans="1:9" x14ac:dyDescent="0.25">
      <c r="A13" s="1"/>
      <c r="B13" s="1"/>
      <c r="C13" s="6" t="s">
        <v>6</v>
      </c>
      <c r="D13" s="116" t="s">
        <v>169</v>
      </c>
      <c r="E13" s="117"/>
      <c r="F13" s="117"/>
      <c r="G13" s="118"/>
      <c r="H13" s="5"/>
      <c r="I13" s="1"/>
    </row>
    <row r="14" spans="1:9" x14ac:dyDescent="0.25">
      <c r="A14" s="1"/>
      <c r="B14" s="1"/>
      <c r="C14" s="6" t="s">
        <v>16</v>
      </c>
      <c r="D14" s="107" t="s">
        <v>235</v>
      </c>
      <c r="E14" s="108"/>
      <c r="F14" s="108"/>
      <c r="G14" s="109"/>
      <c r="H14" s="5"/>
      <c r="I14" s="1"/>
    </row>
    <row r="15" spans="1:9" x14ac:dyDescent="0.25">
      <c r="A15" s="1"/>
      <c r="B15" s="1"/>
      <c r="C15" s="6" t="s">
        <v>34</v>
      </c>
      <c r="D15" s="107" t="s">
        <v>170</v>
      </c>
      <c r="E15" s="108"/>
      <c r="F15" s="108"/>
      <c r="G15" s="109"/>
      <c r="H15" s="5"/>
      <c r="I15" s="1"/>
    </row>
    <row r="16" spans="1:9" x14ac:dyDescent="0.25">
      <c r="A16" s="1"/>
      <c r="B16" s="1"/>
      <c r="C16" s="6" t="s">
        <v>35</v>
      </c>
      <c r="D16" s="107" t="s">
        <v>182</v>
      </c>
      <c r="E16" s="108"/>
      <c r="F16" s="108"/>
      <c r="G16" s="109"/>
      <c r="H16" s="5"/>
      <c r="I16" s="1"/>
    </row>
    <row r="17" spans="1:9" x14ac:dyDescent="0.25">
      <c r="A17" s="1"/>
      <c r="B17" s="1"/>
      <c r="C17" s="6" t="s">
        <v>119</v>
      </c>
      <c r="D17" s="107" t="s">
        <v>183</v>
      </c>
      <c r="E17" s="108"/>
      <c r="F17" s="108"/>
      <c r="G17" s="109"/>
      <c r="H17" s="5"/>
      <c r="I17" s="1"/>
    </row>
    <row r="18" spans="1:9" x14ac:dyDescent="0.25">
      <c r="A18" s="1"/>
      <c r="B18" s="1"/>
      <c r="C18" s="6" t="s">
        <v>106</v>
      </c>
      <c r="D18" s="104" t="s">
        <v>95</v>
      </c>
      <c r="E18" s="105"/>
      <c r="F18" s="105"/>
      <c r="G18" s="106"/>
      <c r="H18" s="5"/>
      <c r="I18" s="1"/>
    </row>
    <row r="19" spans="1:9" x14ac:dyDescent="0.25">
      <c r="A19" s="1"/>
      <c r="B19" s="1"/>
      <c r="C19" s="6" t="s">
        <v>107</v>
      </c>
      <c r="D19" s="104" t="s">
        <v>96</v>
      </c>
      <c r="E19" s="105"/>
      <c r="F19" s="105"/>
      <c r="G19" s="106"/>
      <c r="H19" s="5"/>
      <c r="I19" s="1"/>
    </row>
    <row r="20" spans="1:9" x14ac:dyDescent="0.25">
      <c r="A20" s="1"/>
      <c r="B20" s="1"/>
      <c r="C20" s="6" t="s">
        <v>7</v>
      </c>
      <c r="D20" s="104" t="s">
        <v>10</v>
      </c>
      <c r="E20" s="105"/>
      <c r="F20" s="105"/>
      <c r="G20" s="106"/>
      <c r="H20" s="5"/>
      <c r="I20" s="1"/>
    </row>
    <row r="21" spans="1:9" x14ac:dyDescent="0.25">
      <c r="A21" s="1"/>
      <c r="B21" s="1"/>
      <c r="C21" s="6" t="s">
        <v>108</v>
      </c>
      <c r="D21" s="111" t="s">
        <v>12</v>
      </c>
      <c r="E21" s="112"/>
      <c r="F21" s="112"/>
      <c r="G21" s="113"/>
      <c r="H21" s="5"/>
      <c r="I21" s="1"/>
    </row>
    <row r="22" spans="1:9" x14ac:dyDescent="0.25">
      <c r="A22" s="1"/>
      <c r="B22" s="1"/>
      <c r="C22" s="6" t="s">
        <v>83</v>
      </c>
      <c r="D22" s="98" t="s">
        <v>184</v>
      </c>
      <c r="E22" s="99"/>
      <c r="F22" s="99"/>
      <c r="G22" s="100"/>
      <c r="H22" s="5"/>
      <c r="I22" s="1"/>
    </row>
    <row r="23" spans="1:9" x14ac:dyDescent="0.25">
      <c r="A23" s="1"/>
      <c r="B23" s="1"/>
      <c r="C23" s="6" t="s">
        <v>8</v>
      </c>
      <c r="D23" s="98" t="s">
        <v>253</v>
      </c>
      <c r="E23" s="99"/>
      <c r="F23" s="99"/>
      <c r="G23" s="100"/>
      <c r="H23" s="5"/>
      <c r="I23" s="1"/>
    </row>
    <row r="24" spans="1:9" x14ac:dyDescent="0.25">
      <c r="A24" s="1"/>
      <c r="B24" s="1"/>
      <c r="C24" s="6" t="s">
        <v>9</v>
      </c>
      <c r="D24" s="98" t="s">
        <v>185</v>
      </c>
      <c r="E24" s="99"/>
      <c r="F24" s="99"/>
      <c r="G24" s="100"/>
      <c r="H24" s="5"/>
      <c r="I24" s="1"/>
    </row>
    <row r="25" spans="1:9" x14ac:dyDescent="0.25">
      <c r="A25" s="1"/>
      <c r="B25" s="1"/>
      <c r="C25" s="6" t="s">
        <v>246</v>
      </c>
      <c r="D25" s="98" t="s">
        <v>237</v>
      </c>
      <c r="E25" s="99"/>
      <c r="F25" s="99"/>
      <c r="G25" s="100"/>
      <c r="H25" s="1"/>
      <c r="I25" s="1"/>
    </row>
    <row r="26" spans="1:9" x14ac:dyDescent="0.25">
      <c r="A26" s="1"/>
      <c r="B26" s="1"/>
      <c r="C26" s="6" t="s">
        <v>247</v>
      </c>
      <c r="D26" s="98" t="s">
        <v>84</v>
      </c>
      <c r="E26" s="99"/>
      <c r="F26" s="99"/>
      <c r="G26" s="100"/>
      <c r="H26" s="1"/>
      <c r="I26" s="1"/>
    </row>
    <row r="27" spans="1:9" x14ac:dyDescent="0.25">
      <c r="A27" s="1"/>
      <c r="B27" s="1"/>
      <c r="C27" s="6" t="s">
        <v>248</v>
      </c>
      <c r="D27" s="98" t="s">
        <v>85</v>
      </c>
      <c r="E27" s="99"/>
      <c r="F27" s="99"/>
      <c r="G27" s="100"/>
      <c r="H27" s="1"/>
      <c r="I27" s="1"/>
    </row>
    <row r="28" spans="1:9" x14ac:dyDescent="0.25">
      <c r="A28" s="1"/>
      <c r="B28" s="1"/>
      <c r="C28" s="6" t="s">
        <v>15</v>
      </c>
      <c r="D28" s="98" t="s">
        <v>86</v>
      </c>
      <c r="E28" s="99"/>
      <c r="F28" s="99"/>
      <c r="G28" s="100"/>
      <c r="H28" s="1"/>
      <c r="I28" s="1"/>
    </row>
    <row r="29" spans="1:9" x14ac:dyDescent="0.25">
      <c r="A29" s="1"/>
      <c r="B29" s="1"/>
      <c r="C29" s="6" t="s">
        <v>37</v>
      </c>
      <c r="D29" s="98" t="s">
        <v>134</v>
      </c>
      <c r="E29" s="99"/>
      <c r="F29" s="99"/>
      <c r="G29" s="100"/>
      <c r="H29" s="1"/>
      <c r="I29" s="1"/>
    </row>
    <row r="30" spans="1:9" x14ac:dyDescent="0.25">
      <c r="A30" s="1"/>
      <c r="B30" s="1"/>
      <c r="C30" s="6" t="s">
        <v>38</v>
      </c>
      <c r="D30" s="98" t="s">
        <v>36</v>
      </c>
      <c r="E30" s="99"/>
      <c r="F30" s="99"/>
      <c r="G30" s="100"/>
      <c r="H30" s="1"/>
      <c r="I30" s="1"/>
    </row>
    <row r="31" spans="1:9" x14ac:dyDescent="0.25">
      <c r="A31" s="1"/>
      <c r="B31" s="1"/>
      <c r="C31" s="6" t="s">
        <v>249</v>
      </c>
      <c r="D31" s="101" t="s">
        <v>105</v>
      </c>
      <c r="E31" s="102"/>
      <c r="F31" s="102"/>
      <c r="G31" s="103"/>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sheetData>
  <mergeCells count="22">
    <mergeCell ref="D14:G14"/>
    <mergeCell ref="D6:G7"/>
    <mergeCell ref="D21:G21"/>
    <mergeCell ref="D22:G22"/>
    <mergeCell ref="D11:G11"/>
    <mergeCell ref="D8:G8"/>
    <mergeCell ref="D15:G15"/>
    <mergeCell ref="D16:G16"/>
    <mergeCell ref="D19:G19"/>
    <mergeCell ref="D13:G13"/>
    <mergeCell ref="D17:G17"/>
    <mergeCell ref="D20:G20"/>
    <mergeCell ref="D30:G30"/>
    <mergeCell ref="D31:G31"/>
    <mergeCell ref="D18:G18"/>
    <mergeCell ref="D25:G25"/>
    <mergeCell ref="D26:G26"/>
    <mergeCell ref="D29:G29"/>
    <mergeCell ref="D27:G27"/>
    <mergeCell ref="D28:G28"/>
    <mergeCell ref="D24:G24"/>
    <mergeCell ref="D23:G23"/>
  </mergeCells>
  <hyperlinks>
    <hyperlink ref="D14:G14" location="'Fane 2.2. Økonomisk ramme 2024'!A1" display="Samlet økonomisk ramme for 2024"/>
    <hyperlink ref="D26:G26" location="'Fane 11.1. Varige tillæg'!A1" display="Varige tillæg"/>
    <hyperlink ref="D29:G29" location="'Fane 13. Tilknyttet virksomhed'!A1" display="Tilknyttet virksomhed"/>
    <hyperlink ref="D30:G30" location="'Fane 14.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2:G22" location="'Fane 7. Kontrol af ØR2021'!A1" display="Kontrol af den økonomiske ramme for 2021"/>
    <hyperlink ref="D25:G25" location="'Fane 10. Anlægsprojekter (§ 19)'!A1" display="Anlægsprojekter (§ 19) "/>
    <hyperlink ref="D31:G31" location="'Fane 15. Nøgletal'!A1" display="Nøgletal"/>
    <hyperlink ref="D17:G17" location="'Fane 3. Omkostninger i ØR2022'!A1" display="Omkostninger i ØR2022"/>
    <hyperlink ref="D27:G27" location="'Fane 11.2. Engangstillæg'!A1" display="Engangstillæg"/>
    <hyperlink ref="D28:G28" location="'Fane 12. Periodevise driftsomk.'!A1" display="Periodevise driftsomkostninger"/>
    <hyperlink ref="D24:G24" location="'Fane 9. Korrektion af ØR2021'!A1" display="Korrektion af den økonomiske ramme for 2021"/>
    <hyperlink ref="D21:G21" location="'Fane 6. Ikke-påvirkelige omk.'!A1" display="Ikke-påvirkelige omkostninger"/>
    <hyperlink ref="D18:G18" location="'Fane 4.1. Gen. krav - drift'!A1" display="Generelt effektiviseringskrav på drift"/>
    <hyperlink ref="D20:G20" location="'Fane 5. Individuelt eff. krav'!A1" display="Individuelt effektiviseringskrav"/>
    <hyperlink ref="D19:G19" location="'Fane 4.2. Gen. krav - anlæg'!A1" display="Generelt effektiviseringskrav på anlæg"/>
    <hyperlink ref="D23:G23" location="'Fane 8. Skattesagen'!A1" display="Skattesagen"/>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2"/>
  <sheetViews>
    <sheetView showGridLines="0" view="pageLayout" zoomScaleNormal="100" workbookViewId="0">
      <selection activeCell="E18" sqref="E18"/>
    </sheetView>
  </sheetViews>
  <sheetFormatPr defaultColWidth="9.140625" defaultRowHeight="15" x14ac:dyDescent="0.25"/>
  <cols>
    <col min="1" max="1" width="8.140625" style="2" customWidth="1"/>
    <col min="2" max="2" width="38" style="2" customWidth="1"/>
    <col min="3" max="3" width="25.140625" style="2" customWidth="1"/>
    <col min="4" max="4" width="3.28515625" style="2" customWidth="1"/>
    <col min="5" max="5" width="7.85546875" style="2" customWidth="1"/>
    <col min="6" max="6" width="4" style="2" customWidth="1"/>
    <col min="7" max="16384" width="9.140625" style="2"/>
  </cols>
  <sheetData>
    <row r="1" spans="1:6" x14ac:dyDescent="0.25">
      <c r="A1" s="1"/>
      <c r="B1" s="1"/>
      <c r="C1" s="1"/>
      <c r="D1" s="1"/>
      <c r="E1" s="1"/>
      <c r="F1" s="1"/>
    </row>
    <row r="2" spans="1:6" x14ac:dyDescent="0.25">
      <c r="A2" s="1"/>
      <c r="B2" s="1"/>
      <c r="C2" s="1"/>
      <c r="D2" s="1"/>
      <c r="E2" s="1"/>
      <c r="F2" s="1"/>
    </row>
    <row r="3" spans="1:6" ht="15" customHeight="1" x14ac:dyDescent="0.25">
      <c r="A3" s="1"/>
      <c r="B3" s="119" t="s">
        <v>111</v>
      </c>
      <c r="C3" s="119"/>
      <c r="D3" s="119"/>
      <c r="E3" s="1"/>
      <c r="F3" s="1"/>
    </row>
    <row r="4" spans="1:6" ht="15" customHeight="1" x14ac:dyDescent="0.25">
      <c r="A4" s="1"/>
      <c r="B4" s="119"/>
      <c r="C4" s="119"/>
      <c r="D4" s="119"/>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31" t="s">
        <v>199</v>
      </c>
      <c r="C8" s="132"/>
      <c r="D8" s="133"/>
      <c r="E8" s="1"/>
      <c r="F8" s="1"/>
    </row>
    <row r="9" spans="1:6" ht="15" customHeight="1" x14ac:dyDescent="0.25">
      <c r="A9" s="1"/>
      <c r="B9" s="25" t="s">
        <v>32</v>
      </c>
      <c r="C9" s="54" t="s">
        <v>240</v>
      </c>
      <c r="D9" s="11"/>
      <c r="E9" s="1"/>
      <c r="F9" s="1"/>
    </row>
    <row r="10" spans="1:6" x14ac:dyDescent="0.25">
      <c r="A10" s="1"/>
      <c r="B10" s="90" t="s">
        <v>265</v>
      </c>
      <c r="C10" s="9">
        <v>1053490</v>
      </c>
      <c r="D10" s="14" t="s">
        <v>3</v>
      </c>
      <c r="E10" s="1"/>
      <c r="F10" s="1"/>
    </row>
    <row r="11" spans="1:6" x14ac:dyDescent="0.25">
      <c r="A11" s="1"/>
      <c r="B11" s="90" t="s">
        <v>266</v>
      </c>
      <c r="C11" s="9">
        <v>96759</v>
      </c>
      <c r="D11" s="14" t="s">
        <v>3</v>
      </c>
      <c r="E11" s="1"/>
      <c r="F11" s="1"/>
    </row>
    <row r="12" spans="1:6" x14ac:dyDescent="0.25">
      <c r="A12" s="1"/>
      <c r="B12" s="90" t="s">
        <v>267</v>
      </c>
      <c r="C12" s="9">
        <v>5430042</v>
      </c>
      <c r="D12" s="14" t="s">
        <v>3</v>
      </c>
      <c r="E12" s="1"/>
      <c r="F12" s="1"/>
    </row>
    <row r="13" spans="1:6" x14ac:dyDescent="0.25">
      <c r="A13" s="1"/>
      <c r="B13" s="90" t="s">
        <v>268</v>
      </c>
      <c r="C13" s="9">
        <v>235546</v>
      </c>
      <c r="D13" s="14" t="s">
        <v>3</v>
      </c>
      <c r="E13" s="1"/>
      <c r="F13" s="1"/>
    </row>
    <row r="14" spans="1:6" x14ac:dyDescent="0.25">
      <c r="A14" s="1"/>
      <c r="B14" s="90" t="s">
        <v>269</v>
      </c>
      <c r="C14" s="9">
        <v>91980.37</v>
      </c>
      <c r="D14" s="14" t="s">
        <v>3</v>
      </c>
      <c r="E14" s="1"/>
      <c r="F14" s="1"/>
    </row>
    <row r="15" spans="1:6" x14ac:dyDescent="0.25">
      <c r="A15" s="1"/>
      <c r="B15" s="31" t="s">
        <v>200</v>
      </c>
      <c r="C15" s="12">
        <f>SUM(C10:C14)</f>
        <v>6907817.3700000001</v>
      </c>
      <c r="D15" s="13" t="s">
        <v>3</v>
      </c>
      <c r="E15" s="1"/>
      <c r="F15" s="1"/>
    </row>
    <row r="16" spans="1:6" x14ac:dyDescent="0.25">
      <c r="A16" s="1"/>
      <c r="B16" s="31" t="s">
        <v>201</v>
      </c>
      <c r="C16" s="12">
        <f>C15*(1+'Fane 15. Nøgletal'!C15)^2</f>
        <v>7408408.6581660444</v>
      </c>
      <c r="D16" s="13" t="s">
        <v>3</v>
      </c>
      <c r="E16" s="1"/>
      <c r="F16" s="1"/>
    </row>
    <row r="17" spans="1:6" x14ac:dyDescent="0.25">
      <c r="A17" s="1"/>
      <c r="B17" s="16"/>
      <c r="C17" s="15"/>
      <c r="D17" s="15"/>
      <c r="E17" s="1"/>
      <c r="F17" s="1"/>
    </row>
    <row r="18" spans="1:6" x14ac:dyDescent="0.25">
      <c r="A18" s="1"/>
      <c r="B18" s="16"/>
      <c r="C18" s="15"/>
      <c r="D18" s="15"/>
      <c r="E18" s="1"/>
      <c r="F18" s="1"/>
    </row>
    <row r="19" spans="1:6" x14ac:dyDescent="0.25">
      <c r="A19" s="1"/>
      <c r="B19" s="131" t="s">
        <v>117</v>
      </c>
      <c r="C19" s="132"/>
      <c r="D19" s="133"/>
      <c r="E19" s="1"/>
      <c r="F19" s="1"/>
    </row>
    <row r="20" spans="1:6" x14ac:dyDescent="0.25">
      <c r="A20" s="1"/>
      <c r="B20" s="90" t="s">
        <v>99</v>
      </c>
      <c r="C20" s="9">
        <v>0</v>
      </c>
      <c r="D20" s="14" t="s">
        <v>3</v>
      </c>
      <c r="E20" s="1"/>
      <c r="F20" s="1"/>
    </row>
    <row r="21" spans="1:6" x14ac:dyDescent="0.25">
      <c r="A21" s="1"/>
      <c r="B21" s="90" t="s">
        <v>129</v>
      </c>
      <c r="C21" s="9">
        <v>0</v>
      </c>
      <c r="D21" s="14" t="s">
        <v>3</v>
      </c>
      <c r="E21" s="1"/>
      <c r="F21" s="1"/>
    </row>
    <row r="22" spans="1:6" x14ac:dyDescent="0.25">
      <c r="A22" s="1"/>
      <c r="B22" s="90" t="s">
        <v>155</v>
      </c>
      <c r="C22" s="9">
        <v>0</v>
      </c>
      <c r="D22" s="14" t="s">
        <v>3</v>
      </c>
      <c r="E22" s="1"/>
      <c r="F22" s="1"/>
    </row>
    <row r="23" spans="1:6" x14ac:dyDescent="0.25">
      <c r="A23" s="1"/>
      <c r="B23" s="32" t="s">
        <v>202</v>
      </c>
      <c r="C23" s="9">
        <v>0</v>
      </c>
      <c r="D23" s="39" t="s">
        <v>3</v>
      </c>
      <c r="E23" s="1"/>
      <c r="F23" s="1"/>
    </row>
    <row r="24" spans="1:6" x14ac:dyDescent="0.25">
      <c r="A24" s="1"/>
      <c r="B24" s="131"/>
      <c r="C24" s="132"/>
      <c r="D24" s="133"/>
      <c r="E24" s="1"/>
      <c r="F24" s="1"/>
    </row>
    <row r="25" spans="1:6" x14ac:dyDescent="0.25">
      <c r="A25" s="1"/>
      <c r="B25" s="1"/>
      <c r="C25" s="1"/>
      <c r="D25" s="1"/>
      <c r="E25" s="1"/>
      <c r="F25" s="1"/>
    </row>
    <row r="26" spans="1:6" x14ac:dyDescent="0.25">
      <c r="A26" s="1"/>
      <c r="B26" s="1"/>
      <c r="C26" s="1"/>
      <c r="D26" s="1"/>
      <c r="E26" s="1"/>
      <c r="F26" s="1"/>
    </row>
    <row r="27" spans="1:6" x14ac:dyDescent="0.25">
      <c r="A27" s="1"/>
      <c r="B27" s="131" t="s">
        <v>98</v>
      </c>
      <c r="C27" s="132"/>
      <c r="D27" s="133"/>
      <c r="E27" s="1"/>
      <c r="F27" s="1"/>
    </row>
    <row r="28" spans="1:6" x14ac:dyDescent="0.25">
      <c r="A28" s="1"/>
      <c r="B28" s="90" t="s">
        <v>99</v>
      </c>
      <c r="C28" s="9">
        <v>0</v>
      </c>
      <c r="D28" s="14" t="s">
        <v>3</v>
      </c>
      <c r="E28" s="1"/>
      <c r="F28" s="1"/>
    </row>
    <row r="29" spans="1:6" x14ac:dyDescent="0.25">
      <c r="A29" s="1"/>
      <c r="B29" s="90" t="s">
        <v>129</v>
      </c>
      <c r="C29" s="9">
        <v>0</v>
      </c>
      <c r="D29" s="14" t="s">
        <v>3</v>
      </c>
      <c r="E29" s="1"/>
      <c r="F29" s="1"/>
    </row>
    <row r="30" spans="1:6" x14ac:dyDescent="0.25">
      <c r="A30" s="1"/>
      <c r="B30" s="90" t="s">
        <v>155</v>
      </c>
      <c r="C30" s="9">
        <v>0</v>
      </c>
      <c r="D30" s="14" t="s">
        <v>3</v>
      </c>
      <c r="E30" s="1"/>
      <c r="F30" s="1"/>
    </row>
    <row r="31" spans="1:6" x14ac:dyDescent="0.25">
      <c r="A31" s="1"/>
      <c r="B31" s="32" t="s">
        <v>202</v>
      </c>
      <c r="C31" s="9">
        <v>0</v>
      </c>
      <c r="D31" s="39" t="s">
        <v>3</v>
      </c>
      <c r="E31" s="1"/>
      <c r="F31" s="1"/>
    </row>
    <row r="32" spans="1:6" x14ac:dyDescent="0.25">
      <c r="A32" s="1"/>
      <c r="B32" s="131"/>
      <c r="C32" s="132"/>
      <c r="D32" s="133"/>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48"/>
      <c r="B49" s="48"/>
      <c r="C49" s="48"/>
      <c r="D49" s="48"/>
      <c r="E49" s="48"/>
      <c r="F49" s="48"/>
    </row>
    <row r="50" spans="1:6" x14ac:dyDescent="0.25">
      <c r="A50" s="48"/>
      <c r="B50" s="48"/>
      <c r="C50" s="48"/>
      <c r="D50" s="48"/>
      <c r="E50" s="48"/>
      <c r="F50" s="48"/>
    </row>
    <row r="51" spans="1:6" x14ac:dyDescent="0.25">
      <c r="A51" s="48"/>
      <c r="B51" s="48"/>
      <c r="C51" s="48"/>
      <c r="D51" s="48"/>
      <c r="E51" s="48"/>
      <c r="F51" s="48"/>
    </row>
    <row r="52" spans="1:6" x14ac:dyDescent="0.25">
      <c r="A52" s="48"/>
      <c r="B52" s="48"/>
      <c r="C52" s="48"/>
      <c r="D52" s="48"/>
      <c r="E52" s="48"/>
      <c r="F52" s="48"/>
    </row>
  </sheetData>
  <sheetProtection algorithmName="SHA-512" hashValue="7eDhI9GieEPlhIvmkkohF7DitpFT/PT666nmJ1pzRT8Yw167Hkv79nUJeTrp1OR7ZJAw3gpMe8ndguKxT1rbtQ==" saltValue="iJhQL6vSq3/kpEy0nE2XcQ==" spinCount="100000" sheet="1" objects="1" scenarios="1"/>
  <mergeCells count="6">
    <mergeCell ref="B32:D32"/>
    <mergeCell ref="B3:D4"/>
    <mergeCell ref="B8:D8"/>
    <mergeCell ref="B19:D19"/>
    <mergeCell ref="B27:D27"/>
    <mergeCell ref="B24:D24"/>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G43"/>
  <sheetViews>
    <sheetView showGridLines="0" view="pageLayout" zoomScale="80" zoomScaleNormal="100" zoomScalePageLayoutView="80" workbookViewId="0"/>
  </sheetViews>
  <sheetFormatPr defaultColWidth="9.140625" defaultRowHeight="15" x14ac:dyDescent="0.25"/>
  <cols>
    <col min="1" max="1" width="3.5703125" style="2" customWidth="1"/>
    <col min="2" max="3" width="9.140625" style="2"/>
    <col min="4" max="4" width="45.85546875" style="2" customWidth="1"/>
    <col min="5" max="5" width="12.28515625" style="2" bestFit="1" customWidth="1"/>
    <col min="6" max="6" width="3.28515625" style="2" customWidth="1"/>
    <col min="7" max="7" width="2.42578125" style="2" customWidth="1"/>
    <col min="8" max="8" width="10.85546875" style="2" bestFit="1" customWidth="1"/>
    <col min="9"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203</v>
      </c>
      <c r="C3" s="124"/>
      <c r="D3" s="124"/>
      <c r="E3" s="124"/>
      <c r="F3" s="124"/>
      <c r="G3" s="1"/>
    </row>
    <row r="4" spans="1:7" ht="15" customHeight="1" x14ac:dyDescent="0.25">
      <c r="A4" s="1"/>
      <c r="B4" s="124"/>
      <c r="C4" s="124"/>
      <c r="D4" s="124"/>
      <c r="E4" s="124"/>
      <c r="F4" s="124"/>
      <c r="G4" s="1"/>
    </row>
    <row r="5" spans="1:7" ht="15" customHeight="1" x14ac:dyDescent="0.25">
      <c r="A5" s="1"/>
      <c r="B5" s="86"/>
      <c r="C5" s="86"/>
      <c r="D5" s="86"/>
      <c r="E5" s="86"/>
      <c r="F5" s="86"/>
      <c r="G5" s="1"/>
    </row>
    <row r="6" spans="1:7" ht="15" customHeight="1" x14ac:dyDescent="0.25">
      <c r="A6" s="1"/>
      <c r="B6" s="86"/>
      <c r="C6" s="86"/>
      <c r="D6" s="86"/>
      <c r="E6" s="86"/>
      <c r="F6" s="86"/>
      <c r="G6" s="1"/>
    </row>
    <row r="7" spans="1:7" x14ac:dyDescent="0.25">
      <c r="A7" s="1"/>
      <c r="B7" s="1"/>
      <c r="C7" s="1"/>
      <c r="D7" s="1"/>
      <c r="E7" s="1"/>
      <c r="F7" s="1"/>
      <c r="G7" s="1"/>
    </row>
    <row r="8" spans="1:7" x14ac:dyDescent="0.25">
      <c r="A8" s="1"/>
      <c r="B8" s="131" t="s">
        <v>178</v>
      </c>
      <c r="C8" s="132"/>
      <c r="D8" s="132"/>
      <c r="E8" s="132"/>
      <c r="F8" s="133"/>
      <c r="G8" s="1"/>
    </row>
    <row r="9" spans="1:7" x14ac:dyDescent="0.25">
      <c r="A9" s="1"/>
      <c r="B9" s="136" t="s">
        <v>204</v>
      </c>
      <c r="C9" s="137"/>
      <c r="D9" s="138"/>
      <c r="E9" s="9">
        <v>8235006.6770843267</v>
      </c>
      <c r="F9" s="14" t="s">
        <v>3</v>
      </c>
      <c r="G9" s="1"/>
    </row>
    <row r="10" spans="1:7" x14ac:dyDescent="0.25">
      <c r="A10" s="1"/>
      <c r="B10" s="136" t="s">
        <v>263</v>
      </c>
      <c r="C10" s="137"/>
      <c r="D10" s="138"/>
      <c r="E10" s="9">
        <v>8235006.6770843267</v>
      </c>
      <c r="F10" s="14" t="s">
        <v>3</v>
      </c>
      <c r="G10" s="1"/>
    </row>
    <row r="11" spans="1:7" x14ac:dyDescent="0.25">
      <c r="A11" s="1"/>
      <c r="B11" s="31"/>
      <c r="C11" s="26"/>
      <c r="D11" s="26"/>
      <c r="E11" s="26"/>
      <c r="F11" s="18"/>
      <c r="G11" s="1"/>
    </row>
    <row r="12" spans="1:7" ht="82.5" customHeight="1" x14ac:dyDescent="0.25">
      <c r="A12" s="1"/>
      <c r="B12" s="121" t="s">
        <v>289</v>
      </c>
      <c r="C12" s="122"/>
      <c r="D12" s="122"/>
      <c r="E12" s="122"/>
      <c r="F12" s="123"/>
      <c r="G12" s="1"/>
    </row>
    <row r="13" spans="1:7" ht="27" customHeight="1" x14ac:dyDescent="0.25">
      <c r="A13" s="1"/>
      <c r="B13" s="1"/>
      <c r="C13" s="1"/>
      <c r="D13" s="1"/>
      <c r="E13" s="1"/>
      <c r="F13" s="1"/>
      <c r="G13" s="1"/>
    </row>
    <row r="14" spans="1:7" ht="28.5" customHeight="1" x14ac:dyDescent="0.25">
      <c r="A14" s="1"/>
      <c r="B14" s="131" t="s">
        <v>179</v>
      </c>
      <c r="C14" s="132"/>
      <c r="D14" s="132"/>
      <c r="E14" s="132"/>
      <c r="F14" s="133"/>
      <c r="G14" s="1"/>
    </row>
    <row r="15" spans="1:7" x14ac:dyDescent="0.25">
      <c r="A15" s="1"/>
      <c r="B15" s="136" t="s">
        <v>282</v>
      </c>
      <c r="C15" s="137"/>
      <c r="D15" s="138"/>
      <c r="E15" s="9">
        <v>0</v>
      </c>
      <c r="F15" s="14" t="s">
        <v>3</v>
      </c>
      <c r="G15" s="1"/>
    </row>
    <row r="16" spans="1:7" x14ac:dyDescent="0.25">
      <c r="A16" s="1"/>
      <c r="B16" s="136" t="s">
        <v>283</v>
      </c>
      <c r="C16" s="137"/>
      <c r="D16" s="138"/>
      <c r="E16" s="9">
        <v>0</v>
      </c>
      <c r="F16" s="14" t="s">
        <v>3</v>
      </c>
      <c r="G16" s="1"/>
    </row>
    <row r="17" spans="1:7" x14ac:dyDescent="0.25">
      <c r="A17" s="1"/>
      <c r="B17" s="31"/>
      <c r="C17" s="26"/>
      <c r="D17" s="26"/>
      <c r="E17" s="26"/>
      <c r="F17" s="18"/>
      <c r="G17" s="1"/>
    </row>
    <row r="18" spans="1:7" ht="31.5" customHeight="1" x14ac:dyDescent="0.25">
      <c r="A18" s="1"/>
      <c r="B18" s="121" t="s">
        <v>290</v>
      </c>
      <c r="C18" s="122"/>
      <c r="D18" s="122"/>
      <c r="E18" s="122"/>
      <c r="F18" s="123"/>
      <c r="G18" s="1"/>
    </row>
    <row r="19" spans="1:7" ht="28.5" customHeight="1" x14ac:dyDescent="0.25">
      <c r="A19" s="1"/>
      <c r="B19" s="1"/>
      <c r="C19" s="1"/>
      <c r="D19" s="1"/>
      <c r="E19" s="1"/>
      <c r="F19" s="1"/>
      <c r="G19" s="1"/>
    </row>
    <row r="20" spans="1:7" ht="28.5" customHeight="1" x14ac:dyDescent="0.25">
      <c r="A20" s="1"/>
      <c r="B20" s="81" t="s">
        <v>205</v>
      </c>
      <c r="C20" s="82"/>
      <c r="D20" s="82"/>
      <c r="E20" s="82"/>
      <c r="F20" s="83"/>
      <c r="G20" s="1"/>
    </row>
    <row r="21" spans="1:7" x14ac:dyDescent="0.25">
      <c r="A21" s="1"/>
      <c r="B21" s="87" t="s">
        <v>206</v>
      </c>
      <c r="C21" s="88"/>
      <c r="D21" s="89"/>
      <c r="E21" s="9">
        <v>81660441.748628035</v>
      </c>
      <c r="F21" s="14" t="s">
        <v>3</v>
      </c>
      <c r="G21" s="1"/>
    </row>
    <row r="22" spans="1:7" x14ac:dyDescent="0.25">
      <c r="A22" s="1"/>
      <c r="B22" s="87" t="s">
        <v>207</v>
      </c>
      <c r="C22" s="88"/>
      <c r="D22" s="89"/>
      <c r="E22" s="9">
        <v>76354907</v>
      </c>
      <c r="F22" s="14" t="s">
        <v>3</v>
      </c>
      <c r="G22" s="1"/>
    </row>
    <row r="23" spans="1:7" x14ac:dyDescent="0.25">
      <c r="A23" s="1"/>
      <c r="B23" s="87" t="s">
        <v>33</v>
      </c>
      <c r="C23" s="88"/>
      <c r="D23" s="89"/>
      <c r="E23" s="9">
        <v>0</v>
      </c>
      <c r="F23" s="14" t="s">
        <v>3</v>
      </c>
      <c r="G23" s="1"/>
    </row>
    <row r="24" spans="1:7" x14ac:dyDescent="0.25">
      <c r="A24" s="1"/>
      <c r="B24" s="84" t="s">
        <v>270</v>
      </c>
      <c r="C24" s="85"/>
      <c r="D24" s="92"/>
      <c r="E24" s="68">
        <f>E21-(E22-E23)</f>
        <v>5305534.7486280352</v>
      </c>
      <c r="F24" s="17" t="s">
        <v>3</v>
      </c>
      <c r="G24" s="1"/>
    </row>
    <row r="25" spans="1:7" x14ac:dyDescent="0.25">
      <c r="A25" s="1"/>
      <c r="B25" s="31"/>
      <c r="C25" s="26"/>
      <c r="D25" s="26"/>
      <c r="E25" s="26"/>
      <c r="F25" s="18"/>
      <c r="G25" s="1"/>
    </row>
    <row r="26" spans="1:7" x14ac:dyDescent="0.25">
      <c r="A26" s="1"/>
      <c r="B26" s="1"/>
      <c r="C26" s="1"/>
      <c r="D26" s="1"/>
      <c r="E26" s="1"/>
      <c r="F26" s="1"/>
      <c r="G26" s="1"/>
    </row>
    <row r="27" spans="1:7" x14ac:dyDescent="0.25">
      <c r="A27" s="1"/>
      <c r="B27" s="131" t="s">
        <v>284</v>
      </c>
      <c r="C27" s="132"/>
      <c r="D27" s="132"/>
      <c r="E27" s="132"/>
      <c r="F27" s="133"/>
      <c r="G27" s="1"/>
    </row>
    <row r="28" spans="1:7" x14ac:dyDescent="0.25">
      <c r="A28" s="1"/>
      <c r="B28" s="134" t="s">
        <v>285</v>
      </c>
      <c r="C28" s="135"/>
      <c r="D28" s="155"/>
      <c r="E28" s="69">
        <f>IF(AND(E9&gt;0,(E9+E24)&gt;0),0,IF(AND(E9&gt;0,(E9+E24)&lt;0),0,IF(AND(E9&lt;0,E24&gt;0,E10=0),0,IF(AND(E9&lt;0,E24&gt;0,ABS(E10)&lt;ABS(E24)),ABS(E16),IF(AND(E9&lt;0,E24&gt;0,ABS(E10)&gt;ABS(E24),ABS(E16)&gt;ABS(E24)),-(ABS(E16)-ABS(E24)),IF(AND(E9&lt;0,E24&gt;0,ABS(E10)&gt;ABS(E24),ABS(E16)&lt;ABS(E24)),E24-ABS(E16),IF(AND(E9&lt;0,E24&lt;0),E16,0)))))))</f>
        <v>0</v>
      </c>
      <c r="F28" s="17" t="s">
        <v>3</v>
      </c>
      <c r="G28" s="1"/>
    </row>
    <row r="29" spans="1:7" x14ac:dyDescent="0.25">
      <c r="A29" s="1"/>
      <c r="B29" s="131"/>
      <c r="C29" s="132"/>
      <c r="D29" s="132"/>
      <c r="E29" s="132"/>
      <c r="F29" s="133"/>
      <c r="G29" s="1"/>
    </row>
    <row r="30" spans="1:7" x14ac:dyDescent="0.25">
      <c r="A30" s="1"/>
      <c r="B30" s="1"/>
      <c r="C30" s="1"/>
      <c r="D30" s="1"/>
      <c r="E30" s="1"/>
      <c r="F30" s="1"/>
      <c r="G30" s="1"/>
    </row>
    <row r="31" spans="1:7" ht="28.5" customHeight="1" x14ac:dyDescent="0.25">
      <c r="A31" s="1"/>
      <c r="B31" s="131" t="s">
        <v>264</v>
      </c>
      <c r="C31" s="132"/>
      <c r="D31" s="132"/>
      <c r="E31" s="132"/>
      <c r="F31" s="133"/>
      <c r="G31" s="1"/>
    </row>
    <row r="32" spans="1:7" x14ac:dyDescent="0.25">
      <c r="A32" s="1"/>
      <c r="B32" s="156" t="s">
        <v>143</v>
      </c>
      <c r="C32" s="157"/>
      <c r="D32" s="158"/>
      <c r="E32" s="70">
        <f>IF(AND(E9&gt;0,(E9+E24)&gt;0),0,IF(AND(E9&gt;0,(E9+E24)&lt;0),(E9+E24),IF(AND(E9&lt;0,E24&lt;0),E24,0)))</f>
        <v>0</v>
      </c>
      <c r="F32" s="14" t="s">
        <v>3</v>
      </c>
      <c r="G32" s="1"/>
    </row>
    <row r="33" spans="1:7" x14ac:dyDescent="0.25">
      <c r="A33" s="1"/>
      <c r="B33" s="156" t="s">
        <v>102</v>
      </c>
      <c r="C33" s="157"/>
      <c r="D33" s="158"/>
      <c r="E33" s="9">
        <v>4</v>
      </c>
      <c r="F33" s="14" t="s">
        <v>20</v>
      </c>
      <c r="G33" s="1"/>
    </row>
    <row r="34" spans="1:7" x14ac:dyDescent="0.25">
      <c r="A34" s="1"/>
      <c r="B34" s="151" t="s">
        <v>144</v>
      </c>
      <c r="C34" s="151"/>
      <c r="D34" s="151"/>
      <c r="E34" s="69">
        <f>E32/E33</f>
        <v>0</v>
      </c>
      <c r="F34" s="17" t="s">
        <v>3</v>
      </c>
      <c r="G34" s="1"/>
    </row>
    <row r="35" spans="1:7" x14ac:dyDescent="0.25">
      <c r="A35" s="1"/>
      <c r="B35" s="152"/>
      <c r="C35" s="153"/>
      <c r="D35" s="153"/>
      <c r="E35" s="153"/>
      <c r="F35" s="154"/>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48"/>
      <c r="B40" s="48"/>
      <c r="C40" s="48"/>
      <c r="D40" s="48"/>
      <c r="E40" s="48"/>
      <c r="F40" s="48"/>
      <c r="G40" s="48"/>
    </row>
    <row r="41" spans="1:7" x14ac:dyDescent="0.25">
      <c r="B41" s="48"/>
      <c r="C41" s="48"/>
      <c r="D41" s="48"/>
      <c r="E41" s="48"/>
      <c r="F41" s="48"/>
    </row>
    <row r="42" spans="1:7" x14ac:dyDescent="0.25">
      <c r="A42" s="48"/>
      <c r="B42" s="48"/>
      <c r="C42" s="48"/>
      <c r="D42" s="48"/>
      <c r="E42" s="48"/>
      <c r="F42" s="48"/>
      <c r="G42" s="48"/>
    </row>
    <row r="43" spans="1:7" x14ac:dyDescent="0.25">
      <c r="A43" s="48"/>
      <c r="B43" s="48"/>
      <c r="C43" s="48"/>
      <c r="D43" s="48"/>
      <c r="E43" s="48"/>
      <c r="F43" s="48"/>
      <c r="G43" s="48"/>
    </row>
  </sheetData>
  <sheetProtection algorithmName="SHA-512" hashValue="E7SAgKuEsvg2v2hjDByuL/eywyEDlQ30stJ+RLI4p2vj2l0oW30CMaR4QD77l5oLOXOmnrgdMdcC/dJbfnJ92g==" saltValue="2Tn1ruoJcKeL5+KwDvIm3Q==" spinCount="100000" sheet="1" objects="1" scenarios="1"/>
  <mergeCells count="17">
    <mergeCell ref="B15:D15"/>
    <mergeCell ref="B16:D16"/>
    <mergeCell ref="B32:D32"/>
    <mergeCell ref="B29:F29"/>
    <mergeCell ref="B3:F4"/>
    <mergeCell ref="B8:F8"/>
    <mergeCell ref="B9:D9"/>
    <mergeCell ref="B10:D10"/>
    <mergeCell ref="B14:F14"/>
    <mergeCell ref="B12:F12"/>
    <mergeCell ref="B34:D34"/>
    <mergeCell ref="B35:F35"/>
    <mergeCell ref="B18:F18"/>
    <mergeCell ref="B27:F27"/>
    <mergeCell ref="B28:D28"/>
    <mergeCell ref="B31:F31"/>
    <mergeCell ref="B33:D33"/>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dimension ref="A1:I43"/>
  <sheetViews>
    <sheetView view="pageLayout" zoomScaleNormal="100" workbookViewId="0"/>
  </sheetViews>
  <sheetFormatPr defaultColWidth="9.140625" defaultRowHeight="15" x14ac:dyDescent="0.25"/>
  <cols>
    <col min="1" max="1" width="4.7109375" style="65" customWidth="1"/>
    <col min="2" max="2" width="22.5703125" style="65" customWidth="1"/>
    <col min="3" max="3" width="8.28515625" style="65" customWidth="1"/>
    <col min="4" max="6" width="10.7109375" style="65" customWidth="1"/>
    <col min="7" max="7" width="11.140625" style="65" customWidth="1"/>
    <col min="8" max="8" width="3.28515625" style="65" customWidth="1"/>
    <col min="9" max="9" width="4.85546875" style="65" customWidth="1"/>
    <col min="10" max="16384" width="9.140625" style="65"/>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19" t="s">
        <v>250</v>
      </c>
      <c r="C3" s="119"/>
      <c r="D3" s="119"/>
      <c r="E3" s="119"/>
      <c r="F3" s="119"/>
      <c r="G3" s="119"/>
      <c r="H3" s="119"/>
      <c r="I3" s="1"/>
    </row>
    <row r="4" spans="1:9" ht="15" customHeight="1" x14ac:dyDescent="0.25">
      <c r="A4" s="1"/>
      <c r="B4" s="119"/>
      <c r="C4" s="119"/>
      <c r="D4" s="119"/>
      <c r="E4" s="119"/>
      <c r="F4" s="119"/>
      <c r="G4" s="119"/>
      <c r="H4" s="119"/>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31" t="s">
        <v>262</v>
      </c>
      <c r="C8" s="132"/>
      <c r="D8" s="132"/>
      <c r="E8" s="132"/>
      <c r="F8" s="132"/>
      <c r="G8" s="132"/>
      <c r="H8" s="133"/>
      <c r="I8" s="1"/>
    </row>
    <row r="9" spans="1:9" ht="15" customHeight="1" x14ac:dyDescent="0.25">
      <c r="A9" s="1"/>
      <c r="B9" s="128" t="s">
        <v>251</v>
      </c>
      <c r="C9" s="129"/>
      <c r="D9" s="129"/>
      <c r="E9" s="129"/>
      <c r="F9" s="129"/>
      <c r="G9" s="129"/>
      <c r="H9" s="130"/>
      <c r="I9" s="1"/>
    </row>
    <row r="10" spans="1:9" x14ac:dyDescent="0.25">
      <c r="A10" s="1"/>
      <c r="B10" s="159" t="s">
        <v>273</v>
      </c>
      <c r="C10" s="160"/>
      <c r="D10" s="160"/>
      <c r="E10" s="160"/>
      <c r="F10" s="161"/>
      <c r="G10" s="9">
        <v>0</v>
      </c>
      <c r="H10" s="9" t="s">
        <v>3</v>
      </c>
      <c r="I10" s="1"/>
    </row>
    <row r="11" spans="1:9" x14ac:dyDescent="0.25">
      <c r="A11" s="1"/>
      <c r="B11" s="159" t="s">
        <v>274</v>
      </c>
      <c r="C11" s="160"/>
      <c r="D11" s="160"/>
      <c r="E11" s="160"/>
      <c r="F11" s="161"/>
      <c r="G11" s="9">
        <v>0</v>
      </c>
      <c r="H11" s="9" t="s">
        <v>3</v>
      </c>
      <c r="I11" s="1"/>
    </row>
    <row r="12" spans="1:9" x14ac:dyDescent="0.25">
      <c r="A12" s="1"/>
      <c r="B12" s="159" t="s">
        <v>275</v>
      </c>
      <c r="C12" s="160"/>
      <c r="D12" s="160"/>
      <c r="E12" s="160"/>
      <c r="F12" s="161"/>
      <c r="G12" s="9">
        <v>0</v>
      </c>
      <c r="H12" s="9" t="s">
        <v>3</v>
      </c>
      <c r="I12" s="1"/>
    </row>
    <row r="13" spans="1:9" x14ac:dyDescent="0.25">
      <c r="A13" s="1"/>
      <c r="B13" s="159" t="s">
        <v>276</v>
      </c>
      <c r="C13" s="160"/>
      <c r="D13" s="160"/>
      <c r="E13" s="160"/>
      <c r="F13" s="161"/>
      <c r="G13" s="9">
        <v>0</v>
      </c>
      <c r="H13" s="9" t="s">
        <v>3</v>
      </c>
      <c r="I13" s="1"/>
    </row>
    <row r="14" spans="1:9" x14ac:dyDescent="0.25">
      <c r="A14" s="1"/>
      <c r="B14" s="159" t="s">
        <v>277</v>
      </c>
      <c r="C14" s="160"/>
      <c r="D14" s="160"/>
      <c r="E14" s="160"/>
      <c r="F14" s="161"/>
      <c r="G14" s="9">
        <v>0</v>
      </c>
      <c r="H14" s="9" t="s">
        <v>3</v>
      </c>
      <c r="I14" s="1"/>
    </row>
    <row r="15" spans="1:9" x14ac:dyDescent="0.25">
      <c r="A15" s="1"/>
      <c r="B15" s="159" t="s">
        <v>278</v>
      </c>
      <c r="C15" s="160"/>
      <c r="D15" s="160"/>
      <c r="E15" s="160"/>
      <c r="F15" s="161"/>
      <c r="G15" s="9">
        <v>0</v>
      </c>
      <c r="H15" s="9" t="s">
        <v>3</v>
      </c>
      <c r="I15" s="1"/>
    </row>
    <row r="16" spans="1:9" x14ac:dyDescent="0.25">
      <c r="A16" s="1"/>
      <c r="B16" s="159" t="s">
        <v>279</v>
      </c>
      <c r="C16" s="160"/>
      <c r="D16" s="160"/>
      <c r="E16" s="160"/>
      <c r="F16" s="161"/>
      <c r="G16" s="9">
        <v>0</v>
      </c>
      <c r="H16" s="9" t="s">
        <v>3</v>
      </c>
      <c r="I16" s="1"/>
    </row>
    <row r="17" spans="1:9" x14ac:dyDescent="0.25">
      <c r="A17" s="1"/>
      <c r="B17" s="159" t="s">
        <v>280</v>
      </c>
      <c r="C17" s="160"/>
      <c r="D17" s="160"/>
      <c r="E17" s="160"/>
      <c r="F17" s="161"/>
      <c r="G17" s="9">
        <v>0</v>
      </c>
      <c r="H17" s="9" t="s">
        <v>3</v>
      </c>
      <c r="I17" s="1"/>
    </row>
    <row r="18" spans="1:9" x14ac:dyDescent="0.25">
      <c r="A18" s="1"/>
      <c r="B18" s="131" t="s">
        <v>252</v>
      </c>
      <c r="C18" s="132"/>
      <c r="D18" s="132"/>
      <c r="E18" s="132"/>
      <c r="F18" s="13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sheetData>
  <sheetProtection algorithmName="SHA-512" hashValue="44AlL6Q151M+4yvLIfODMjJK4LBooKjpbpxedCIsjhrsp1spr5qqjQAY5BpNXgAvvAJfnnBp5V8C0QiDDfV8vA==" saltValue="NTHOARNLRmBN3Jtq9+v87g==" spinCount="100000" sheet="1" objects="1" scenarios="1"/>
  <mergeCells count="12">
    <mergeCell ref="B9:H9"/>
    <mergeCell ref="B3:H4"/>
    <mergeCell ref="B8:H8"/>
    <mergeCell ref="B11:F11"/>
    <mergeCell ref="B10:F10"/>
    <mergeCell ref="B17:F17"/>
    <mergeCell ref="B18:F18"/>
    <mergeCell ref="B12:F12"/>
    <mergeCell ref="B13:F13"/>
    <mergeCell ref="B14:F14"/>
    <mergeCell ref="B15:F15"/>
    <mergeCell ref="B16:F16"/>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dimension ref="A1:G49"/>
  <sheetViews>
    <sheetView showGridLines="0" view="pageLayout" zoomScaleNormal="100" workbookViewId="0"/>
  </sheetViews>
  <sheetFormatPr defaultColWidth="9.140625" defaultRowHeight="15" x14ac:dyDescent="0.25"/>
  <cols>
    <col min="1" max="1" width="3.5703125" style="2" customWidth="1"/>
    <col min="2" max="3" width="9.140625" style="2"/>
    <col min="4" max="4" width="45.5703125" style="2" customWidth="1"/>
    <col min="5" max="5" width="12.7109375" style="2" bestFit="1" customWidth="1"/>
    <col min="6" max="6" width="3.28515625" style="2" customWidth="1"/>
    <col min="7" max="7" width="2.42578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254</v>
      </c>
      <c r="C3" s="124"/>
      <c r="D3" s="124"/>
      <c r="E3" s="124"/>
      <c r="F3" s="124"/>
      <c r="G3" s="1"/>
    </row>
    <row r="4" spans="1:7" ht="1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208</v>
      </c>
      <c r="C9" s="132"/>
      <c r="D9" s="132"/>
      <c r="E9" s="132"/>
      <c r="F9" s="133"/>
      <c r="G9" s="1"/>
    </row>
    <row r="10" spans="1:7" x14ac:dyDescent="0.25">
      <c r="A10" s="1"/>
      <c r="B10" s="121" t="s">
        <v>100</v>
      </c>
      <c r="C10" s="122"/>
      <c r="D10" s="123"/>
      <c r="E10" s="7">
        <v>0</v>
      </c>
      <c r="F10" s="8" t="s">
        <v>3</v>
      </c>
      <c r="G10" s="1"/>
    </row>
    <row r="11" spans="1:7" x14ac:dyDescent="0.25">
      <c r="A11" s="1"/>
      <c r="B11" s="136" t="s">
        <v>209</v>
      </c>
      <c r="C11" s="137"/>
      <c r="D11" s="138"/>
      <c r="E11" s="7">
        <v>0</v>
      </c>
      <c r="F11" s="8" t="s">
        <v>3</v>
      </c>
      <c r="G11" s="1"/>
    </row>
    <row r="12" spans="1:7" x14ac:dyDescent="0.25">
      <c r="A12" s="1"/>
      <c r="B12" s="134" t="s">
        <v>101</v>
      </c>
      <c r="C12" s="135"/>
      <c r="D12" s="155"/>
      <c r="E12" s="10">
        <f>E11-E10</f>
        <v>0</v>
      </c>
      <c r="F12" s="11" t="s">
        <v>3</v>
      </c>
      <c r="G12" s="1"/>
    </row>
    <row r="13" spans="1:7" x14ac:dyDescent="0.25">
      <c r="A13" s="1"/>
      <c r="B13" s="131" t="s">
        <v>94</v>
      </c>
      <c r="C13" s="132"/>
      <c r="D13" s="132"/>
      <c r="E13" s="132"/>
      <c r="F13" s="133"/>
      <c r="G13" s="1"/>
    </row>
    <row r="14" spans="1:7" x14ac:dyDescent="0.25">
      <c r="A14" s="1"/>
      <c r="B14" s="136" t="s">
        <v>210</v>
      </c>
      <c r="C14" s="137"/>
      <c r="D14" s="138"/>
      <c r="E14" s="9">
        <v>0</v>
      </c>
      <c r="F14" s="8" t="s">
        <v>3</v>
      </c>
      <c r="G14" s="1"/>
    </row>
    <row r="15" spans="1:7" x14ac:dyDescent="0.25">
      <c r="A15" s="1"/>
      <c r="B15" s="121" t="s">
        <v>211</v>
      </c>
      <c r="C15" s="122"/>
      <c r="D15" s="123"/>
      <c r="E15" s="9">
        <v>0</v>
      </c>
      <c r="F15" s="8" t="s">
        <v>3</v>
      </c>
      <c r="G15" s="1"/>
    </row>
    <row r="16" spans="1:7" x14ac:dyDescent="0.25">
      <c r="A16" s="1"/>
      <c r="B16" s="134" t="s">
        <v>101</v>
      </c>
      <c r="C16" s="135"/>
      <c r="D16" s="155"/>
      <c r="E16" s="10">
        <f>E15-E14</f>
        <v>0</v>
      </c>
      <c r="F16" s="11" t="s">
        <v>3</v>
      </c>
      <c r="G16" s="1"/>
    </row>
    <row r="17" spans="1:7" x14ac:dyDescent="0.25">
      <c r="A17" s="1"/>
      <c r="B17" s="31" t="s">
        <v>212</v>
      </c>
      <c r="C17" s="26"/>
      <c r="D17" s="26"/>
      <c r="E17" s="12">
        <f>E12+E16</f>
        <v>0</v>
      </c>
      <c r="F17" s="13"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mUqGC05CBrAx1BvW8JwbhlsRr4b0mNcCV/buwPZokl67uMmwjWB3AiQq6iMLv2FepXxAU1eldEgEnoM2dS683w==" saltValue="2P6RTaSCZ/jkTCdpklu4Dw==" spinCount="100000" sheet="1" objects="1" scenarios="1"/>
  <mergeCells count="9">
    <mergeCell ref="B13:F13"/>
    <mergeCell ref="B16:D16"/>
    <mergeCell ref="B3:F4"/>
    <mergeCell ref="B10:D10"/>
    <mergeCell ref="B11:D11"/>
    <mergeCell ref="B14:D14"/>
    <mergeCell ref="B15:D15"/>
    <mergeCell ref="B9:F9"/>
    <mergeCell ref="B12:D12"/>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election activeCell="B13" sqref="B13"/>
    </sheetView>
  </sheetViews>
  <sheetFormatPr defaultColWidth="9.140625" defaultRowHeight="15" x14ac:dyDescent="0.25"/>
  <cols>
    <col min="1" max="1" width="4.7109375" style="2" customWidth="1"/>
    <col min="2" max="2" width="21.7109375" style="2" customWidth="1"/>
    <col min="3" max="3" width="8.85546875" style="2" customWidth="1"/>
    <col min="4" max="4" width="9.140625" style="2" customWidth="1"/>
    <col min="5" max="5" width="2.42578125" style="2" customWidth="1"/>
    <col min="6" max="6" width="9.140625" style="2" customWidth="1"/>
    <col min="7" max="7" width="2.42578125" style="2" customWidth="1"/>
    <col min="8" max="8" width="9.140625" style="2" customWidth="1"/>
    <col min="9" max="9" width="2.42578125" style="2" customWidth="1"/>
    <col min="10" max="10" width="9.140625" style="2" customWidth="1"/>
    <col min="11" max="11" width="2.42578125" style="2" customWidth="1"/>
    <col min="12" max="12" width="4.85546875" style="2" customWidth="1"/>
    <col min="13" max="16384" width="9.140625"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19" t="s">
        <v>255</v>
      </c>
      <c r="C3" s="119"/>
      <c r="D3" s="119"/>
      <c r="E3" s="119"/>
      <c r="F3" s="119"/>
      <c r="G3" s="119"/>
      <c r="H3" s="119"/>
      <c r="I3" s="119"/>
      <c r="J3" s="119"/>
      <c r="K3" s="119"/>
      <c r="L3" s="1"/>
    </row>
    <row r="4" spans="1:12" ht="15" customHeight="1" x14ac:dyDescent="0.25">
      <c r="A4" s="1"/>
      <c r="B4" s="119"/>
      <c r="C4" s="119"/>
      <c r="D4" s="119"/>
      <c r="E4" s="119"/>
      <c r="F4" s="119"/>
      <c r="G4" s="119"/>
      <c r="H4" s="119"/>
      <c r="I4" s="119"/>
      <c r="J4" s="119"/>
      <c r="K4" s="119"/>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31" t="s">
        <v>219</v>
      </c>
      <c r="C8" s="132"/>
      <c r="D8" s="132"/>
      <c r="E8" s="132"/>
      <c r="F8" s="132"/>
      <c r="G8" s="132"/>
      <c r="H8" s="132"/>
      <c r="I8" s="132"/>
      <c r="J8" s="132"/>
      <c r="K8" s="133"/>
      <c r="L8" s="1"/>
    </row>
    <row r="9" spans="1:12" ht="39.75" customHeight="1" x14ac:dyDescent="0.25">
      <c r="A9" s="1"/>
      <c r="B9" s="54" t="s">
        <v>0</v>
      </c>
      <c r="C9" s="54" t="s">
        <v>1</v>
      </c>
      <c r="D9" s="162" t="s">
        <v>245</v>
      </c>
      <c r="E9" s="163"/>
      <c r="F9" s="162" t="s">
        <v>2</v>
      </c>
      <c r="G9" s="163"/>
      <c r="H9" s="162" t="s">
        <v>244</v>
      </c>
      <c r="I9" s="163"/>
      <c r="J9" s="162" t="s">
        <v>30</v>
      </c>
      <c r="K9" s="163"/>
      <c r="L9" s="1"/>
    </row>
    <row r="10" spans="1:12" x14ac:dyDescent="0.25">
      <c r="A10" s="1"/>
      <c r="B10" s="93" t="s">
        <v>281</v>
      </c>
      <c r="C10" s="40">
        <v>0</v>
      </c>
      <c r="D10" s="9">
        <v>0</v>
      </c>
      <c r="E10" s="14" t="s">
        <v>3</v>
      </c>
      <c r="F10" s="9">
        <f>IFERROR(D10/C10,0)</f>
        <v>0</v>
      </c>
      <c r="G10" s="14" t="s">
        <v>3</v>
      </c>
      <c r="H10" s="43">
        <v>0</v>
      </c>
      <c r="I10" s="14" t="s">
        <v>3</v>
      </c>
      <c r="J10" s="43">
        <v>0</v>
      </c>
      <c r="K10" s="14" t="s">
        <v>3</v>
      </c>
      <c r="L10" s="1"/>
    </row>
    <row r="11" spans="1:12" x14ac:dyDescent="0.25">
      <c r="A11" s="1"/>
      <c r="B11" s="81" t="s">
        <v>220</v>
      </c>
      <c r="C11" s="82"/>
      <c r="D11" s="83"/>
      <c r="E11" s="83"/>
      <c r="F11" s="12">
        <f>SUM(F10:F10)</f>
        <v>0</v>
      </c>
      <c r="G11" s="12" t="s">
        <v>243</v>
      </c>
      <c r="H11" s="12">
        <f>SUM(H10:H10)</f>
        <v>0</v>
      </c>
      <c r="I11" s="12" t="s">
        <v>243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election activeCell="B10" sqref="B10"/>
    </sheetView>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256</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80</v>
      </c>
      <c r="C8" s="26"/>
      <c r="D8" s="26"/>
      <c r="E8" s="26"/>
      <c r="F8" s="18"/>
      <c r="G8" s="1"/>
    </row>
    <row r="9" spans="1:7" ht="17.25" customHeight="1" x14ac:dyDescent="0.25">
      <c r="A9" s="1"/>
      <c r="B9" s="79" t="s">
        <v>17</v>
      </c>
      <c r="C9" s="79" t="s">
        <v>11</v>
      </c>
      <c r="D9" s="80"/>
      <c r="E9" s="79" t="s">
        <v>31</v>
      </c>
      <c r="F9" s="30"/>
      <c r="G9" s="1"/>
    </row>
    <row r="10" spans="1:7" x14ac:dyDescent="0.25">
      <c r="A10" s="1"/>
      <c r="B10" s="22" t="s">
        <v>226</v>
      </c>
      <c r="C10" s="20">
        <f>'Fane 10. Anlægsprojekter (§ 19)'!H11</f>
        <v>0</v>
      </c>
      <c r="D10" s="14" t="s">
        <v>3</v>
      </c>
      <c r="E10" s="9">
        <f>SUM('Fane 10. Anlægsprojekter (§ 19)'!F11,'Fane 10. Anlægsprojekter (§ 19)'!J11)</f>
        <v>0</v>
      </c>
      <c r="F10" s="14" t="s">
        <v>3</v>
      </c>
      <c r="G10" s="1"/>
    </row>
    <row r="11" spans="1:7" x14ac:dyDescent="0.25">
      <c r="A11" s="1"/>
      <c r="B11" s="22" t="s">
        <v>272</v>
      </c>
      <c r="C11" s="20">
        <v>2563461</v>
      </c>
      <c r="D11" s="14" t="s">
        <v>3</v>
      </c>
      <c r="E11" s="9">
        <v>646099</v>
      </c>
      <c r="F11" s="14" t="s">
        <v>3</v>
      </c>
      <c r="G11" s="1"/>
    </row>
    <row r="12" spans="1:7" x14ac:dyDescent="0.25">
      <c r="A12" s="1"/>
      <c r="B12" s="22" t="s">
        <v>286</v>
      </c>
      <c r="C12" s="20">
        <v>10356</v>
      </c>
      <c r="D12" s="14" t="s">
        <v>3</v>
      </c>
      <c r="E12" s="9">
        <v>630906</v>
      </c>
      <c r="F12" s="14" t="s">
        <v>3</v>
      </c>
      <c r="G12" s="1"/>
    </row>
    <row r="13" spans="1:7" x14ac:dyDescent="0.25">
      <c r="A13" s="1"/>
      <c r="B13" s="31" t="s">
        <v>156</v>
      </c>
      <c r="C13" s="12">
        <f>SUM(C10:C12)</f>
        <v>2573817</v>
      </c>
      <c r="D13" s="13" t="s">
        <v>3</v>
      </c>
      <c r="E13" s="12">
        <f>SUM(E10:E12)</f>
        <v>1277005</v>
      </c>
      <c r="F13" s="13" t="s">
        <v>3</v>
      </c>
      <c r="G13" s="1"/>
    </row>
    <row r="14" spans="1:7" x14ac:dyDescent="0.25">
      <c r="A14" s="1"/>
      <c r="B14" s="31" t="s">
        <v>213</v>
      </c>
      <c r="C14" s="12">
        <f>C13*(1+'Fane 15. Nøgletal'!C15)</f>
        <v>2665444.8852000004</v>
      </c>
      <c r="D14" s="13" t="s">
        <v>3</v>
      </c>
      <c r="E14" s="12">
        <f>E13*(1+'Fane 15. Nøgletal'!C15)</f>
        <v>1322466.378</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8dfBf1IcJts0t2ox3e7rv3nTZ2S4XCEELh/IoiKTDNGG8HZlfLFnAYOzr0yFGY+dCCX44UAVJgf781wzsujX0A==" saltValue="PT8g84aBIqYDCj3DxmOm+g=="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36"/>
  <sheetViews>
    <sheetView showGridLines="0" view="pageLayout"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42578125" style="2" bestFit="1" customWidth="1"/>
    <col min="5" max="5" width="17.7109375" style="2" bestFit="1"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19" t="s">
        <v>257</v>
      </c>
      <c r="C3" s="119"/>
      <c r="D3" s="119"/>
      <c r="E3" s="119"/>
      <c r="F3" s="119"/>
      <c r="G3" s="1"/>
    </row>
    <row r="4" spans="1:7" ht="15" customHeight="1" x14ac:dyDescent="0.25">
      <c r="A4" s="1"/>
      <c r="B4" s="119"/>
      <c r="C4" s="119"/>
      <c r="D4" s="119"/>
      <c r="E4" s="119"/>
      <c r="F4" s="119"/>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97</v>
      </c>
      <c r="C8" s="132"/>
      <c r="D8" s="132"/>
      <c r="E8" s="132"/>
      <c r="F8" s="133"/>
      <c r="G8" s="1"/>
    </row>
    <row r="9" spans="1:7" x14ac:dyDescent="0.25">
      <c r="A9" s="1"/>
      <c r="B9" s="79" t="s">
        <v>17</v>
      </c>
      <c r="C9" s="79" t="s">
        <v>11</v>
      </c>
      <c r="D9" s="80"/>
      <c r="E9" s="79" t="s">
        <v>31</v>
      </c>
      <c r="F9" s="30"/>
      <c r="G9" s="1"/>
    </row>
    <row r="10" spans="1:7" x14ac:dyDescent="0.25">
      <c r="A10" s="1"/>
      <c r="B10" s="22" t="s">
        <v>287</v>
      </c>
      <c r="C10" s="20">
        <v>0</v>
      </c>
      <c r="D10" s="14" t="s">
        <v>3</v>
      </c>
      <c r="E10" s="9">
        <v>0</v>
      </c>
      <c r="F10" s="14" t="s">
        <v>3</v>
      </c>
      <c r="G10" s="1"/>
    </row>
    <row r="11" spans="1:7" x14ac:dyDescent="0.25">
      <c r="A11" s="1"/>
      <c r="B11" s="31" t="s">
        <v>232</v>
      </c>
      <c r="C11" s="12">
        <f>SUM(C10:C10)</f>
        <v>0</v>
      </c>
      <c r="D11" s="13" t="s">
        <v>3</v>
      </c>
      <c r="E11" s="12">
        <f>SUM(E10:E10)</f>
        <v>0</v>
      </c>
      <c r="F11" s="13" t="s">
        <v>3</v>
      </c>
      <c r="G11" s="1"/>
    </row>
    <row r="12" spans="1:7" x14ac:dyDescent="0.25">
      <c r="A12" s="1"/>
      <c r="B12" s="31" t="s">
        <v>136</v>
      </c>
      <c r="C12" s="12">
        <f>C11*(1+'Fane 15. Nøgletal'!C15)^2</f>
        <v>0</v>
      </c>
      <c r="D12" s="13" t="s">
        <v>3</v>
      </c>
      <c r="E12" s="12">
        <f>E11*(1+'Fane 15. Nøgletal'!C15)^2</f>
        <v>0</v>
      </c>
      <c r="F12" s="13" t="s">
        <v>3</v>
      </c>
      <c r="G12" s="1"/>
    </row>
    <row r="13" spans="1:7" x14ac:dyDescent="0.25">
      <c r="A13" s="1"/>
      <c r="B13" s="1"/>
      <c r="C13" s="1"/>
      <c r="D13" s="1"/>
      <c r="E13" s="1"/>
      <c r="F13" s="1"/>
      <c r="G13" s="1"/>
    </row>
    <row r="14" spans="1:7" x14ac:dyDescent="0.25">
      <c r="A14" s="1"/>
      <c r="B14" s="164"/>
      <c r="C14" s="164"/>
      <c r="D14" s="164"/>
      <c r="E14" s="164"/>
      <c r="F14" s="164"/>
      <c r="G14" s="1"/>
    </row>
    <row r="15" spans="1:7" x14ac:dyDescent="0.25">
      <c r="A15" s="1"/>
      <c r="B15" s="56"/>
      <c r="C15" s="56"/>
      <c r="D15" s="56"/>
      <c r="E15" s="56"/>
      <c r="F15" s="57"/>
      <c r="G15" s="1"/>
    </row>
    <row r="16" spans="1:7" x14ac:dyDescent="0.25">
      <c r="A16" s="1"/>
      <c r="B16" s="58"/>
      <c r="C16" s="59"/>
      <c r="D16" s="60"/>
      <c r="E16" s="61"/>
      <c r="F16" s="60"/>
      <c r="G16" s="1"/>
    </row>
    <row r="17" spans="1:7" x14ac:dyDescent="0.25">
      <c r="A17" s="1"/>
      <c r="B17" s="58"/>
      <c r="C17" s="59"/>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4"/>
      <c r="C21" s="164"/>
      <c r="D21" s="164"/>
      <c r="E21" s="164"/>
      <c r="F21" s="164"/>
      <c r="G21" s="1"/>
    </row>
    <row r="22" spans="1:7" x14ac:dyDescent="0.25">
      <c r="A22" s="1"/>
      <c r="B22" s="56"/>
      <c r="C22" s="56"/>
      <c r="D22" s="56"/>
      <c r="E22" s="56"/>
      <c r="F22" s="57"/>
      <c r="G22" s="1"/>
    </row>
    <row r="23" spans="1:7" x14ac:dyDescent="0.25">
      <c r="A23" s="1"/>
      <c r="B23" s="58"/>
      <c r="C23" s="59"/>
      <c r="D23" s="60"/>
      <c r="E23" s="61"/>
      <c r="F23" s="60"/>
      <c r="G23" s="1"/>
    </row>
    <row r="24" spans="1:7" x14ac:dyDescent="0.25">
      <c r="A24" s="1"/>
      <c r="B24" s="58"/>
      <c r="C24" s="59"/>
      <c r="D24" s="60"/>
      <c r="E24" s="61"/>
      <c r="F24" s="60"/>
      <c r="G24" s="1"/>
    </row>
    <row r="25" spans="1:7" x14ac:dyDescent="0.25">
      <c r="A25" s="1"/>
      <c r="B25" s="62"/>
      <c r="C25" s="63"/>
      <c r="D25" s="64"/>
      <c r="E25" s="63"/>
      <c r="F25" s="64"/>
      <c r="G25" s="1"/>
    </row>
    <row r="26" spans="1:7" x14ac:dyDescent="0.25">
      <c r="A26" s="1"/>
      <c r="B26" s="62"/>
      <c r="C26" s="63"/>
      <c r="D26" s="64"/>
      <c r="E26" s="63"/>
      <c r="F26" s="64"/>
      <c r="G26" s="1"/>
    </row>
    <row r="27" spans="1:7" x14ac:dyDescent="0.25">
      <c r="A27" s="1"/>
      <c r="B27" s="55"/>
      <c r="C27" s="55"/>
      <c r="D27" s="55"/>
      <c r="E27" s="55"/>
      <c r="F27" s="55"/>
      <c r="G27" s="1"/>
    </row>
    <row r="28" spans="1:7" x14ac:dyDescent="0.25">
      <c r="A28" s="1"/>
      <c r="B28" s="164"/>
      <c r="C28" s="164"/>
      <c r="D28" s="164"/>
      <c r="E28" s="164"/>
      <c r="F28" s="164"/>
      <c r="G28" s="1"/>
    </row>
    <row r="29" spans="1:7" x14ac:dyDescent="0.25">
      <c r="A29" s="1"/>
      <c r="B29" s="56"/>
      <c r="C29" s="56"/>
      <c r="D29" s="56"/>
      <c r="E29" s="56"/>
      <c r="F29" s="57"/>
      <c r="G29" s="1"/>
    </row>
    <row r="30" spans="1:7" x14ac:dyDescent="0.25">
      <c r="A30" s="1"/>
      <c r="B30" s="58"/>
      <c r="C30" s="59"/>
      <c r="D30" s="60"/>
      <c r="E30" s="61"/>
      <c r="F30" s="60"/>
      <c r="G30" s="1"/>
    </row>
    <row r="31" spans="1:7" x14ac:dyDescent="0.25">
      <c r="A31" s="1"/>
      <c r="B31" s="58"/>
      <c r="C31" s="59"/>
      <c r="D31" s="60"/>
      <c r="E31" s="61"/>
      <c r="F31" s="60"/>
      <c r="G31" s="1"/>
    </row>
    <row r="32" spans="1:7" x14ac:dyDescent="0.25">
      <c r="A32" s="1"/>
      <c r="B32" s="62"/>
      <c r="C32" s="63"/>
      <c r="D32" s="64"/>
      <c r="E32" s="63"/>
      <c r="F32" s="64"/>
      <c r="G32" s="1"/>
    </row>
    <row r="33" spans="1:7" x14ac:dyDescent="0.25">
      <c r="A33" s="1"/>
      <c r="B33" s="62"/>
      <c r="C33" s="63"/>
      <c r="D33" s="64"/>
      <c r="E33" s="63"/>
      <c r="F33" s="64"/>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sheetData>
  <sheetProtection algorithmName="SHA-512" hashValue="2QOWT79aguPO4z2Omm5zw7wx2Cvjwg957PGndzgmDv/gkbxJ6zeFFLrOo1YOcvCu2knBc/TWV/yvKoxpgZwM9A==" saltValue="p/kDLN8vdqj5txxr0jFC4Q==" spinCount="100000" sheet="1" objects="1" scenarios="1"/>
  <mergeCells count="5">
    <mergeCell ref="B28:F28"/>
    <mergeCell ref="B3:F4"/>
    <mergeCell ref="B8:F8"/>
    <mergeCell ref="B14:F14"/>
    <mergeCell ref="B21:F21"/>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50"/>
  <sheetViews>
    <sheetView showGridLines="0" view="pageLayout" topLeftCell="A28" zoomScaleNormal="100" workbookViewId="0"/>
  </sheetViews>
  <sheetFormatPr defaultColWidth="9.140625" defaultRowHeight="15" x14ac:dyDescent="0.25"/>
  <cols>
    <col min="1" max="1" width="5.140625" style="2" customWidth="1"/>
    <col min="2" max="2" width="34.42578125" style="2" customWidth="1"/>
    <col min="3" max="3" width="16.28515625" style="2" customWidth="1"/>
    <col min="4" max="4" width="3.28515625" style="2" customWidth="1"/>
    <col min="5" max="5" width="19.1406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258</v>
      </c>
      <c r="C3" s="124"/>
      <c r="D3" s="124"/>
      <c r="E3" s="124"/>
      <c r="F3" s="124"/>
      <c r="G3" s="1"/>
    </row>
    <row r="4" spans="1:7" ht="15" customHeight="1" x14ac:dyDescent="0.25">
      <c r="A4" s="1"/>
      <c r="B4" s="124"/>
      <c r="C4" s="124"/>
      <c r="D4" s="124"/>
      <c r="E4" s="124"/>
      <c r="F4" s="124"/>
      <c r="G4" s="1"/>
    </row>
    <row r="5" spans="1:7" x14ac:dyDescent="0.25">
      <c r="A5" s="1"/>
      <c r="B5" s="124"/>
      <c r="C5" s="124"/>
      <c r="D5" s="124"/>
      <c r="E5" s="124"/>
      <c r="F5" s="124"/>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4.25" customHeight="1" x14ac:dyDescent="0.25">
      <c r="A9" s="1"/>
      <c r="B9" s="131" t="s">
        <v>91</v>
      </c>
      <c r="C9" s="132"/>
      <c r="D9" s="132"/>
      <c r="E9" s="132"/>
      <c r="F9" s="133"/>
      <c r="G9" s="1"/>
    </row>
    <row r="10" spans="1:7" x14ac:dyDescent="0.25">
      <c r="A10" s="1"/>
      <c r="B10" s="159" t="s">
        <v>224</v>
      </c>
      <c r="C10" s="160"/>
      <c r="D10" s="161"/>
      <c r="E10" s="9">
        <v>0</v>
      </c>
      <c r="F10" s="14" t="s">
        <v>3</v>
      </c>
      <c r="G10" s="1"/>
    </row>
    <row r="11" spans="1:7" x14ac:dyDescent="0.25">
      <c r="A11" s="1"/>
      <c r="B11" s="125" t="s">
        <v>10</v>
      </c>
      <c r="C11" s="126"/>
      <c r="D11" s="127"/>
      <c r="E11" s="9">
        <f>-E10*'Fane 5. Individuelt eff. krav'!G9</f>
        <v>0</v>
      </c>
      <c r="F11" s="14" t="s">
        <v>3</v>
      </c>
      <c r="G11" s="1"/>
    </row>
    <row r="12" spans="1:7" x14ac:dyDescent="0.25">
      <c r="A12" s="1"/>
      <c r="B12" s="125" t="s">
        <v>24</v>
      </c>
      <c r="C12" s="126"/>
      <c r="D12" s="127"/>
      <c r="E12" s="9">
        <f>-E10*'Fane 15. Nøgletal'!C31</f>
        <v>0</v>
      </c>
      <c r="F12" s="14" t="s">
        <v>3</v>
      </c>
      <c r="G12" s="1"/>
    </row>
    <row r="13" spans="1:7" x14ac:dyDescent="0.25">
      <c r="A13" s="1"/>
      <c r="B13" s="131" t="s">
        <v>92</v>
      </c>
      <c r="C13" s="132"/>
      <c r="D13" s="133"/>
      <c r="E13" s="12">
        <f>SUM(E10:E12)*(1+'Fane 15. Nøgletal'!C15)^2</f>
        <v>0</v>
      </c>
      <c r="F13" s="13" t="s">
        <v>3</v>
      </c>
      <c r="G13" s="1"/>
    </row>
    <row r="14" spans="1:7" x14ac:dyDescent="0.25">
      <c r="A14" s="1"/>
      <c r="B14" s="1"/>
      <c r="C14" s="1"/>
      <c r="D14" s="1"/>
      <c r="E14" s="1"/>
      <c r="F14" s="1"/>
      <c r="G14" s="1"/>
    </row>
    <row r="15" spans="1:7" ht="15" customHeight="1" x14ac:dyDescent="0.25">
      <c r="A15" s="1"/>
      <c r="B15" s="131" t="s">
        <v>130</v>
      </c>
      <c r="C15" s="132"/>
      <c r="D15" s="132"/>
      <c r="E15" s="132"/>
      <c r="F15" s="133"/>
      <c r="G15" s="1"/>
    </row>
    <row r="16" spans="1:7" x14ac:dyDescent="0.25">
      <c r="A16" s="1"/>
      <c r="B16" s="159" t="s">
        <v>224</v>
      </c>
      <c r="C16" s="160"/>
      <c r="D16" s="161"/>
      <c r="E16" s="9">
        <v>0</v>
      </c>
      <c r="F16" s="14" t="s">
        <v>3</v>
      </c>
      <c r="G16" s="1"/>
    </row>
    <row r="17" spans="1:7" x14ac:dyDescent="0.25">
      <c r="A17" s="1"/>
      <c r="B17" s="125" t="s">
        <v>10</v>
      </c>
      <c r="C17" s="126"/>
      <c r="D17" s="127"/>
      <c r="E17" s="9">
        <f>-E16*'Fane 5. Individuelt eff. krav'!G9</f>
        <v>0</v>
      </c>
      <c r="F17" s="14" t="s">
        <v>3</v>
      </c>
      <c r="G17" s="1"/>
    </row>
    <row r="18" spans="1:7" x14ac:dyDescent="0.25">
      <c r="A18" s="1"/>
      <c r="B18" s="125" t="s">
        <v>24</v>
      </c>
      <c r="C18" s="126"/>
      <c r="D18" s="127"/>
      <c r="E18" s="9">
        <f>-E16*'Fane 15. Nøgletal'!C31</f>
        <v>0</v>
      </c>
      <c r="F18" s="14" t="s">
        <v>3</v>
      </c>
      <c r="G18" s="1"/>
    </row>
    <row r="19" spans="1:7" x14ac:dyDescent="0.25">
      <c r="A19" s="1"/>
      <c r="B19" s="131" t="s">
        <v>131</v>
      </c>
      <c r="C19" s="132"/>
      <c r="D19" s="133"/>
      <c r="E19" s="12">
        <f>SUM(E16:E18)*(1+'Fane 15. Nøgletal'!C15)^3</f>
        <v>0</v>
      </c>
      <c r="F19" s="13" t="s">
        <v>3</v>
      </c>
      <c r="G19" s="1"/>
    </row>
    <row r="20" spans="1:7" x14ac:dyDescent="0.25">
      <c r="A20" s="1"/>
      <c r="B20" s="1"/>
      <c r="C20" s="1"/>
      <c r="D20" s="1"/>
      <c r="E20" s="1"/>
      <c r="F20" s="1"/>
      <c r="G20" s="1"/>
    </row>
    <row r="21" spans="1:7" ht="15" customHeight="1" x14ac:dyDescent="0.25">
      <c r="A21" s="1"/>
      <c r="B21" s="131" t="s">
        <v>157</v>
      </c>
      <c r="C21" s="132"/>
      <c r="D21" s="132"/>
      <c r="E21" s="132"/>
      <c r="F21" s="133"/>
      <c r="G21" s="1"/>
    </row>
    <row r="22" spans="1:7" x14ac:dyDescent="0.25">
      <c r="A22" s="1"/>
      <c r="B22" s="159" t="s">
        <v>224</v>
      </c>
      <c r="C22" s="160"/>
      <c r="D22" s="161"/>
      <c r="E22" s="9">
        <v>0</v>
      </c>
      <c r="F22" s="14" t="s">
        <v>3</v>
      </c>
      <c r="G22" s="1"/>
    </row>
    <row r="23" spans="1:7" x14ac:dyDescent="0.25">
      <c r="A23" s="1"/>
      <c r="B23" s="125" t="s">
        <v>10</v>
      </c>
      <c r="C23" s="126"/>
      <c r="D23" s="127"/>
      <c r="E23" s="9">
        <f>-E22*'Fane 5. Individuelt eff. krav'!G9</f>
        <v>0</v>
      </c>
      <c r="F23" s="14" t="s">
        <v>3</v>
      </c>
      <c r="G23" s="1"/>
    </row>
    <row r="24" spans="1:7" x14ac:dyDescent="0.25">
      <c r="A24" s="1"/>
      <c r="B24" s="125" t="s">
        <v>24</v>
      </c>
      <c r="C24" s="126"/>
      <c r="D24" s="127"/>
      <c r="E24" s="9">
        <f>-E22*'Fane 15. Nøgletal'!C31</f>
        <v>0</v>
      </c>
      <c r="F24" s="14" t="s">
        <v>3</v>
      </c>
      <c r="G24" s="1"/>
    </row>
    <row r="25" spans="1:7" x14ac:dyDescent="0.25">
      <c r="A25" s="1"/>
      <c r="B25" s="131" t="s">
        <v>158</v>
      </c>
      <c r="C25" s="132"/>
      <c r="D25" s="133"/>
      <c r="E25" s="12">
        <f>SUM(E22:E24)*(1+'Fane 15. Nøgletal'!C15)^4</f>
        <v>0</v>
      </c>
      <c r="F25" s="13" t="s">
        <v>3</v>
      </c>
      <c r="G25" s="1"/>
    </row>
    <row r="26" spans="1:7" x14ac:dyDescent="0.25">
      <c r="A26" s="1"/>
      <c r="B26" s="1"/>
      <c r="C26" s="1"/>
      <c r="D26" s="1"/>
      <c r="E26" s="1"/>
      <c r="F26" s="1"/>
      <c r="G26" s="1"/>
    </row>
    <row r="27" spans="1:7" ht="15" customHeight="1" x14ac:dyDescent="0.25">
      <c r="A27" s="1"/>
      <c r="B27" s="131" t="s">
        <v>214</v>
      </c>
      <c r="C27" s="132"/>
      <c r="D27" s="132"/>
      <c r="E27" s="132"/>
      <c r="F27" s="133"/>
      <c r="G27" s="1"/>
    </row>
    <row r="28" spans="1:7" ht="14.25" customHeight="1" x14ac:dyDescent="0.25">
      <c r="A28" s="1"/>
      <c r="B28" s="159" t="s">
        <v>224</v>
      </c>
      <c r="C28" s="160"/>
      <c r="D28" s="161"/>
      <c r="E28" s="9">
        <v>0</v>
      </c>
      <c r="F28" s="14" t="s">
        <v>3</v>
      </c>
      <c r="G28" s="1"/>
    </row>
    <row r="29" spans="1:7" x14ac:dyDescent="0.25">
      <c r="A29" s="1"/>
      <c r="B29" s="125" t="s">
        <v>10</v>
      </c>
      <c r="C29" s="126"/>
      <c r="D29" s="127"/>
      <c r="E29" s="9">
        <f>-E28*'Fane 5. Individuelt eff. krav'!G9</f>
        <v>0</v>
      </c>
      <c r="F29" s="14" t="s">
        <v>3</v>
      </c>
      <c r="G29" s="1"/>
    </row>
    <row r="30" spans="1:7" x14ac:dyDescent="0.25">
      <c r="A30" s="1"/>
      <c r="B30" s="125" t="s">
        <v>24</v>
      </c>
      <c r="C30" s="126"/>
      <c r="D30" s="127"/>
      <c r="E30" s="9">
        <f>-E28*'Fane 15. Nøgletal'!C31</f>
        <v>0</v>
      </c>
      <c r="F30" s="14" t="s">
        <v>3</v>
      </c>
      <c r="G30" s="1"/>
    </row>
    <row r="31" spans="1:7" x14ac:dyDescent="0.25">
      <c r="A31" s="1"/>
      <c r="B31" s="131" t="s">
        <v>215</v>
      </c>
      <c r="C31" s="132"/>
      <c r="D31" s="133"/>
      <c r="E31" s="12">
        <f>SUM(E28:E30)*(1+'Fane 15. Nøgletal'!C15)^5</f>
        <v>0</v>
      </c>
      <c r="F31" s="13" t="s">
        <v>3</v>
      </c>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J4nNGo9oB0B58XwGatS8/7vHS9o3XQk+yiE0aH03N85adVPtoebmCP7wVd/VJGvNhWvXacaGrxXNbYUjBkU4zw==" saltValue="texn1eDCirgUYV83MNhFnQ==" spinCount="100000" sheet="1" objects="1" scenarios="1"/>
  <mergeCells count="21">
    <mergeCell ref="B27:F27"/>
    <mergeCell ref="B28:D28"/>
    <mergeCell ref="B29:D29"/>
    <mergeCell ref="B30:D30"/>
    <mergeCell ref="B31:D31"/>
    <mergeCell ref="B25:D25"/>
    <mergeCell ref="B21:F21"/>
    <mergeCell ref="B22:D22"/>
    <mergeCell ref="B19:D19"/>
    <mergeCell ref="B16:D16"/>
    <mergeCell ref="B17:D17"/>
    <mergeCell ref="B18:D18"/>
    <mergeCell ref="B23:D23"/>
    <mergeCell ref="B24:D24"/>
    <mergeCell ref="B3:F5"/>
    <mergeCell ref="B13:D13"/>
    <mergeCell ref="B15:F15"/>
    <mergeCell ref="B9:F9"/>
    <mergeCell ref="B10:D10"/>
    <mergeCell ref="B11:D11"/>
    <mergeCell ref="B12:D1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5"/>
  <sheetViews>
    <sheetView showGridLines="0" view="pageLayout" topLeftCell="A25" zoomScaleNormal="100" workbookViewId="0"/>
  </sheetViews>
  <sheetFormatPr defaultColWidth="9.140625" defaultRowHeight="15" x14ac:dyDescent="0.25"/>
  <cols>
    <col min="1" max="1" width="1.5703125" style="2" customWidth="1"/>
    <col min="2" max="2" width="42.7109375" style="2" customWidth="1"/>
    <col min="3" max="3" width="15.5703125" style="2" customWidth="1"/>
    <col min="4" max="4" width="3.28515625" style="2" customWidth="1"/>
    <col min="5" max="5" width="17.140625" style="2" customWidth="1"/>
    <col min="6" max="6" width="3.28515625" style="2" customWidth="1"/>
    <col min="7" max="7" width="1.57031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259</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31" t="s">
        <v>132</v>
      </c>
      <c r="C8" s="132"/>
      <c r="D8" s="132"/>
      <c r="E8" s="132"/>
      <c r="F8" s="133"/>
      <c r="G8" s="1"/>
    </row>
    <row r="9" spans="1:7" ht="15" customHeight="1" x14ac:dyDescent="0.25">
      <c r="A9" s="1"/>
      <c r="B9" s="29" t="s">
        <v>133</v>
      </c>
      <c r="C9" s="29" t="s">
        <v>11</v>
      </c>
      <c r="D9" s="30"/>
      <c r="E9" s="29" t="s">
        <v>31</v>
      </c>
      <c r="F9" s="30"/>
      <c r="G9" s="1"/>
    </row>
    <row r="10" spans="1:7" x14ac:dyDescent="0.25">
      <c r="A10" s="1"/>
      <c r="B10" s="22" t="s">
        <v>271</v>
      </c>
      <c r="C10" s="9">
        <v>0</v>
      </c>
      <c r="D10" s="14" t="s">
        <v>3</v>
      </c>
      <c r="E10" s="9">
        <v>0</v>
      </c>
      <c r="F10" s="14" t="s">
        <v>3</v>
      </c>
      <c r="G10" s="1"/>
    </row>
    <row r="11" spans="1:7" ht="28.5" customHeight="1" x14ac:dyDescent="0.25">
      <c r="A11" s="1"/>
      <c r="B11" s="19" t="s">
        <v>159</v>
      </c>
      <c r="C11" s="12">
        <f>SUM(C10:C10)</f>
        <v>0</v>
      </c>
      <c r="D11" s="13" t="s">
        <v>3</v>
      </c>
      <c r="E11" s="12">
        <f>SUM(E10:E10)</f>
        <v>0</v>
      </c>
      <c r="F11" s="13" t="s">
        <v>3</v>
      </c>
      <c r="G11" s="1"/>
    </row>
    <row r="12" spans="1:7" ht="27" customHeight="1" x14ac:dyDescent="0.25">
      <c r="A12" s="1"/>
      <c r="B12" s="19" t="s">
        <v>217</v>
      </c>
      <c r="C12" s="12">
        <f>C11*(1+'Fane 15. Nøgletal'!C15)</f>
        <v>0</v>
      </c>
      <c r="D12" s="13" t="s">
        <v>3</v>
      </c>
      <c r="E12" s="12">
        <f>E11*(1+'Fane 15.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sheetData>
  <sheetProtection algorithmName="SHA-512" hashValue="Rj1XQaRC1a5yQQ6Eiw+MuOQ6cZul5XLkp9Wb8yDQNE6FTBZEKpLiRRBTe7/Tlb4HQV8fcxkp8wfsTxSY9vMBew==" saltValue="M+XADgHnBXphCbJtzpu0og==" spinCount="100000" sheet="1" objects="1" scenarios="1"/>
  <mergeCells count="2">
    <mergeCell ref="B3:F4"/>
    <mergeCell ref="B8:F8"/>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1"/>
  <sheetViews>
    <sheetView showGridLines="0" view="pageLayout" zoomScaleNormal="100" workbookViewId="0"/>
  </sheetViews>
  <sheetFormatPr defaultColWidth="9.140625" defaultRowHeight="15" x14ac:dyDescent="0.25"/>
  <cols>
    <col min="1" max="1" width="5.140625" style="2" customWidth="1"/>
    <col min="2" max="2" width="36.42578125" style="2" customWidth="1"/>
    <col min="3" max="3" width="15.7109375" style="2" customWidth="1"/>
    <col min="4" max="4" width="3.28515625" style="2" customWidth="1"/>
    <col min="5" max="5" width="18.42578125" style="2" customWidth="1"/>
    <col min="6" max="6" width="3.28515625" style="2" customWidth="1"/>
    <col min="7" max="7" width="5.14062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260</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31" t="s">
        <v>93</v>
      </c>
      <c r="C9" s="132"/>
      <c r="D9" s="132"/>
      <c r="E9" s="132"/>
      <c r="F9" s="133"/>
      <c r="G9" s="1"/>
    </row>
    <row r="10" spans="1:7" ht="26.25" x14ac:dyDescent="0.25">
      <c r="A10" s="1"/>
      <c r="B10" s="29" t="s">
        <v>18</v>
      </c>
      <c r="C10" s="29" t="s">
        <v>11</v>
      </c>
      <c r="D10" s="30"/>
      <c r="E10" s="29" t="s">
        <v>31</v>
      </c>
      <c r="F10" s="30"/>
      <c r="G10" s="1"/>
    </row>
    <row r="11" spans="1:7" x14ac:dyDescent="0.25">
      <c r="A11" s="1"/>
      <c r="B11" s="22" t="s">
        <v>177</v>
      </c>
      <c r="C11" s="9">
        <v>0</v>
      </c>
      <c r="D11" s="14" t="s">
        <v>3</v>
      </c>
      <c r="E11" s="9">
        <v>0</v>
      </c>
      <c r="F11" s="14" t="s">
        <v>3</v>
      </c>
      <c r="G11" s="1"/>
    </row>
    <row r="12" spans="1:7" x14ac:dyDescent="0.25">
      <c r="A12" s="1"/>
      <c r="B12" s="31" t="s">
        <v>234</v>
      </c>
      <c r="C12" s="12">
        <f>SUM(C11:C11)</f>
        <v>0</v>
      </c>
      <c r="D12" s="13" t="s">
        <v>3</v>
      </c>
      <c r="E12" s="12">
        <f>SUM(E11:E11)</f>
        <v>0</v>
      </c>
      <c r="F12" s="13" t="s">
        <v>3</v>
      </c>
      <c r="G12" s="1"/>
    </row>
    <row r="13" spans="1:7" x14ac:dyDescent="0.25">
      <c r="A13" s="1"/>
      <c r="B13" s="31" t="s">
        <v>89</v>
      </c>
      <c r="C13" s="12">
        <f>C12*(1+'Fane 15. Nøgletal'!C15)</f>
        <v>0</v>
      </c>
      <c r="D13" s="13" t="s">
        <v>3</v>
      </c>
      <c r="E13" s="12">
        <f>E12*(1+'Fane 15. Nøgletal'!C15)</f>
        <v>0</v>
      </c>
      <c r="F13" s="13" t="s">
        <v>3</v>
      </c>
      <c r="G13" s="1"/>
    </row>
    <row r="14" spans="1:7" x14ac:dyDescent="0.25">
      <c r="A14" s="1"/>
      <c r="B14" s="1"/>
      <c r="C14" s="1"/>
      <c r="D14" s="1"/>
      <c r="E14" s="1"/>
      <c r="F14" s="1"/>
      <c r="G14" s="1"/>
    </row>
    <row r="15" spans="1:7" x14ac:dyDescent="0.25">
      <c r="A15" s="1"/>
      <c r="B15" s="164"/>
      <c r="C15" s="164"/>
      <c r="D15" s="164"/>
      <c r="E15" s="164"/>
      <c r="F15" s="164"/>
      <c r="G15" s="1"/>
    </row>
    <row r="16" spans="1:7" x14ac:dyDescent="0.25">
      <c r="A16" s="1"/>
      <c r="B16" s="57"/>
      <c r="C16" s="57"/>
      <c r="D16" s="57"/>
      <c r="E16" s="57"/>
      <c r="F16" s="57"/>
      <c r="G16" s="1"/>
    </row>
    <row r="17" spans="1:7" x14ac:dyDescent="0.25">
      <c r="A17" s="1"/>
      <c r="B17" s="58"/>
      <c r="C17" s="61"/>
      <c r="D17" s="60"/>
      <c r="E17" s="61"/>
      <c r="F17" s="60"/>
      <c r="G17" s="1"/>
    </row>
    <row r="18" spans="1:7" x14ac:dyDescent="0.25">
      <c r="A18" s="1"/>
      <c r="B18" s="62"/>
      <c r="C18" s="63"/>
      <c r="D18" s="64"/>
      <c r="E18" s="63"/>
      <c r="F18" s="64"/>
      <c r="G18" s="1"/>
    </row>
    <row r="19" spans="1:7" x14ac:dyDescent="0.25">
      <c r="A19" s="1"/>
      <c r="B19" s="62"/>
      <c r="C19" s="63"/>
      <c r="D19" s="64"/>
      <c r="E19" s="63"/>
      <c r="F19" s="64"/>
      <c r="G19" s="1"/>
    </row>
    <row r="20" spans="1:7" x14ac:dyDescent="0.25">
      <c r="A20" s="1"/>
      <c r="B20" s="55"/>
      <c r="C20" s="55"/>
      <c r="D20" s="55"/>
      <c r="E20" s="55"/>
      <c r="F20" s="55"/>
      <c r="G20" s="1"/>
    </row>
    <row r="21" spans="1:7" x14ac:dyDescent="0.25">
      <c r="A21" s="1"/>
      <c r="B21" s="164"/>
      <c r="C21" s="164"/>
      <c r="D21" s="164"/>
      <c r="E21" s="164"/>
      <c r="F21" s="164"/>
      <c r="G21" s="1"/>
    </row>
    <row r="22" spans="1:7" x14ac:dyDescent="0.25">
      <c r="A22" s="1"/>
      <c r="B22" s="57"/>
      <c r="C22" s="57"/>
      <c r="D22" s="57"/>
      <c r="E22" s="57"/>
      <c r="F22" s="57"/>
      <c r="G22" s="1"/>
    </row>
    <row r="23" spans="1:7" x14ac:dyDescent="0.25">
      <c r="A23" s="1"/>
      <c r="B23" s="58"/>
      <c r="C23" s="61"/>
      <c r="D23" s="60"/>
      <c r="E23" s="61"/>
      <c r="F23" s="60"/>
      <c r="G23" s="1"/>
    </row>
    <row r="24" spans="1:7" x14ac:dyDescent="0.25">
      <c r="A24" s="1"/>
      <c r="B24" s="62"/>
      <c r="C24" s="63"/>
      <c r="D24" s="64"/>
      <c r="E24" s="63"/>
      <c r="F24" s="64"/>
      <c r="G24" s="1"/>
    </row>
    <row r="25" spans="1:7" x14ac:dyDescent="0.25">
      <c r="A25" s="1"/>
      <c r="B25" s="62"/>
      <c r="C25" s="63"/>
      <c r="D25" s="64"/>
      <c r="E25" s="63"/>
      <c r="F25" s="64"/>
      <c r="G25" s="1"/>
    </row>
    <row r="26" spans="1:7" x14ac:dyDescent="0.25">
      <c r="A26" s="1"/>
      <c r="B26" s="55"/>
      <c r="C26" s="55"/>
      <c r="D26" s="55"/>
      <c r="E26" s="55"/>
      <c r="F26" s="55"/>
      <c r="G26" s="1"/>
    </row>
    <row r="27" spans="1:7" x14ac:dyDescent="0.25">
      <c r="A27" s="1"/>
      <c r="B27" s="164"/>
      <c r="C27" s="164"/>
      <c r="D27" s="164"/>
      <c r="E27" s="164"/>
      <c r="F27" s="164"/>
      <c r="G27" s="1"/>
    </row>
    <row r="28" spans="1:7" x14ac:dyDescent="0.25">
      <c r="A28" s="1"/>
      <c r="B28" s="57"/>
      <c r="C28" s="57"/>
      <c r="D28" s="57"/>
      <c r="E28" s="57"/>
      <c r="F28" s="57"/>
      <c r="G28" s="1"/>
    </row>
    <row r="29" spans="1:7" x14ac:dyDescent="0.25">
      <c r="A29" s="1"/>
      <c r="B29" s="58"/>
      <c r="C29" s="61"/>
      <c r="D29" s="60"/>
      <c r="E29" s="61"/>
      <c r="F29" s="60"/>
      <c r="G29" s="1"/>
    </row>
    <row r="30" spans="1:7" x14ac:dyDescent="0.25">
      <c r="A30" s="1"/>
      <c r="B30" s="62"/>
      <c r="C30" s="63"/>
      <c r="D30" s="64"/>
      <c r="E30" s="63"/>
      <c r="F30" s="64"/>
      <c r="G30" s="1"/>
    </row>
    <row r="31" spans="1:7" x14ac:dyDescent="0.25">
      <c r="A31" s="1"/>
      <c r="B31" s="62"/>
      <c r="C31" s="63"/>
      <c r="D31" s="64"/>
      <c r="E31" s="63"/>
      <c r="F31" s="64"/>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sheetData>
  <sheetProtection algorithmName="SHA-512" hashValue="ucP4KYU2NGdKUu1F8vB/2EzriUrEbSJ/J7eLN5xB62m1VqtZOmARjr1G3uF7VfX2DPAG4GiGeDBJemUv4JjhAw==" saltValue="3XSMxtwIGxBRGin6xNLSew==" spinCount="100000" sheet="1" objects="1" scenarios="1"/>
  <mergeCells count="5">
    <mergeCell ref="B27:F27"/>
    <mergeCell ref="B3:F4"/>
    <mergeCell ref="B9:F9"/>
    <mergeCell ref="B15:F15"/>
    <mergeCell ref="B21:F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8"/>
  <sheetViews>
    <sheetView showGridLines="0" view="pageLayout" zoomScale="85" zoomScaleNormal="100" zoomScalePageLayoutView="85" workbookViewId="0"/>
  </sheetViews>
  <sheetFormatPr defaultColWidth="9.140625" defaultRowHeight="15"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181</v>
      </c>
      <c r="C3" s="119"/>
      <c r="D3" s="119"/>
      <c r="E3" s="1"/>
    </row>
    <row r="4" spans="1:5" ht="15" customHeight="1" x14ac:dyDescent="0.25">
      <c r="A4" s="1"/>
      <c r="B4" s="119"/>
      <c r="C4" s="119"/>
      <c r="D4" s="119"/>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x14ac:dyDescent="0.25">
      <c r="A9" s="1"/>
      <c r="B9" s="27" t="s">
        <v>126</v>
      </c>
      <c r="C9" s="7">
        <f>'Fane 3. Omkostninger i ØR2022'!E20</f>
        <v>74264116.435423702</v>
      </c>
      <c r="D9" s="8" t="s">
        <v>3</v>
      </c>
      <c r="E9" s="1"/>
    </row>
    <row r="10" spans="1:5" ht="17.25" customHeight="1" x14ac:dyDescent="0.25">
      <c r="A10" s="1"/>
      <c r="B10" s="78" t="s">
        <v>39</v>
      </c>
      <c r="C10" s="7">
        <f>'Fane 11.1. Varige tillæg'!C14</f>
        <v>2665444.8852000004</v>
      </c>
      <c r="D10" s="8" t="s">
        <v>3</v>
      </c>
      <c r="E10" s="1"/>
    </row>
    <row r="11" spans="1:5" ht="17.25" customHeight="1" x14ac:dyDescent="0.25">
      <c r="A11" s="1"/>
      <c r="B11" s="78" t="s">
        <v>40</v>
      </c>
      <c r="C11" s="9">
        <f>'Fane 11.1. Varige tillæg'!E14</f>
        <v>1322466.378</v>
      </c>
      <c r="D11" s="8" t="s">
        <v>3</v>
      </c>
      <c r="E11" s="1"/>
    </row>
    <row r="12" spans="1:5" ht="17.25" customHeight="1" x14ac:dyDescent="0.25">
      <c r="A12" s="1"/>
      <c r="B12" s="78" t="s">
        <v>27</v>
      </c>
      <c r="C12" s="9">
        <f>-'Fane 14. Bortfald'!C13</f>
        <v>0</v>
      </c>
      <c r="D12" s="8" t="s">
        <v>3</v>
      </c>
      <c r="E12" s="1"/>
    </row>
    <row r="13" spans="1:5" ht="17.25" customHeight="1" x14ac:dyDescent="0.25">
      <c r="A13" s="1"/>
      <c r="B13" s="78" t="s">
        <v>26</v>
      </c>
      <c r="C13" s="9">
        <f>-'Fane 14. Bortfald'!E13</f>
        <v>0</v>
      </c>
      <c r="D13" s="8" t="s">
        <v>3</v>
      </c>
      <c r="E13" s="1"/>
    </row>
    <row r="14" spans="1:5" ht="17.25" customHeight="1" x14ac:dyDescent="0.25">
      <c r="A14" s="1"/>
      <c r="B14" s="78" t="s">
        <v>124</v>
      </c>
      <c r="C14" s="9">
        <f>'Fane 13. Tilknyttet virksomhed'!C12</f>
        <v>0</v>
      </c>
      <c r="D14" s="8" t="s">
        <v>3</v>
      </c>
      <c r="E14" s="1"/>
    </row>
    <row r="15" spans="1:5" ht="17.25" customHeight="1" x14ac:dyDescent="0.25">
      <c r="A15" s="1"/>
      <c r="B15" s="78" t="s">
        <v>125</v>
      </c>
      <c r="C15" s="9">
        <f>'Fane 13. Tilknyttet virksomhed'!E12</f>
        <v>0</v>
      </c>
      <c r="D15" s="8" t="s">
        <v>3</v>
      </c>
      <c r="E15" s="1"/>
    </row>
    <row r="16" spans="1:5" ht="17.25" customHeight="1" x14ac:dyDescent="0.25">
      <c r="A16" s="1"/>
      <c r="B16" s="78" t="s">
        <v>19</v>
      </c>
      <c r="C16" s="43">
        <f>SUM(C9)*'Fane 15. Nøgletal'!C14+SUM(C10:C15)*'Fane 15. Nøgletal'!C15</f>
        <v>387041.2252068182</v>
      </c>
      <c r="D16" s="8" t="s">
        <v>3</v>
      </c>
      <c r="E16" s="1"/>
    </row>
    <row r="17" spans="1:5" ht="17.25" customHeight="1" x14ac:dyDescent="0.25">
      <c r="A17" s="1"/>
      <c r="B17" s="78" t="s">
        <v>10</v>
      </c>
      <c r="C17" s="43">
        <f>-SUM(C9,C10:C16)*'Fane 5. Individuelt eff. krav'!G9</f>
        <v>-809567.64280907752</v>
      </c>
      <c r="D17" s="8" t="s">
        <v>3</v>
      </c>
      <c r="E17" s="1"/>
    </row>
    <row r="18" spans="1:5" ht="17.25" customHeight="1" x14ac:dyDescent="0.25">
      <c r="A18" s="1"/>
      <c r="B18" s="78" t="s">
        <v>24</v>
      </c>
      <c r="C18" s="43">
        <f>-'Fane 4.1. Gen. krav - drift'!G45</f>
        <v>-555476.64919667295</v>
      </c>
      <c r="D18" s="8" t="s">
        <v>3</v>
      </c>
      <c r="E18" s="1"/>
    </row>
    <row r="19" spans="1:5" ht="17.25" customHeight="1" x14ac:dyDescent="0.25">
      <c r="A19" s="1"/>
      <c r="B19" s="78" t="s">
        <v>25</v>
      </c>
      <c r="C19" s="43">
        <f>-'Fane 4.2. Gen. krav - anlæg'!G43</f>
        <v>-822968.41297830269</v>
      </c>
      <c r="D19" s="8" t="s">
        <v>3</v>
      </c>
      <c r="E19" s="47"/>
    </row>
    <row r="20" spans="1:5" ht="17.25" customHeight="1" x14ac:dyDescent="0.25">
      <c r="A20" s="1"/>
      <c r="B20" s="84" t="s">
        <v>21</v>
      </c>
      <c r="C20" s="10">
        <f>SUM(C9:C19)</f>
        <v>76451056.21884647</v>
      </c>
      <c r="D20" s="11" t="s">
        <v>3</v>
      </c>
      <c r="E20" s="1"/>
    </row>
    <row r="21" spans="1:5" ht="15" customHeight="1" x14ac:dyDescent="0.25">
      <c r="A21" s="1"/>
      <c r="B21" s="31" t="s">
        <v>12</v>
      </c>
      <c r="C21" s="26"/>
      <c r="D21" s="18"/>
      <c r="E21" s="1"/>
    </row>
    <row r="22" spans="1:5" ht="15" customHeight="1" x14ac:dyDescent="0.25">
      <c r="A22" s="1"/>
      <c r="B22" s="29" t="s">
        <v>12</v>
      </c>
      <c r="C22" s="10">
        <f>'Fane 6. Ikke-påvirkelige omk.'!C16+'Fane 6. Ikke-påvirkelige omk.'!C20+'Fane 6. Ikke-påvirkelige omk.'!C28</f>
        <v>7408408.6581660444</v>
      </c>
      <c r="D22" s="11" t="s">
        <v>3</v>
      </c>
      <c r="E22" s="1"/>
    </row>
    <row r="23" spans="1:5" ht="15" customHeight="1" x14ac:dyDescent="0.25">
      <c r="A23" s="1"/>
      <c r="B23" s="31" t="s">
        <v>86</v>
      </c>
      <c r="C23" s="26"/>
      <c r="D23" s="18"/>
      <c r="E23" s="1"/>
    </row>
    <row r="24" spans="1:5" ht="15" customHeight="1" x14ac:dyDescent="0.25">
      <c r="A24" s="1"/>
      <c r="B24" s="84" t="s">
        <v>86</v>
      </c>
      <c r="C24" s="10">
        <f>'Fane 12. Periodevise driftsomk.'!E13</f>
        <v>0</v>
      </c>
      <c r="D24" s="11" t="s">
        <v>3</v>
      </c>
      <c r="E24" s="1"/>
    </row>
    <row r="25" spans="1:5" ht="15" customHeight="1" x14ac:dyDescent="0.25">
      <c r="A25" s="1"/>
      <c r="B25" s="46" t="s">
        <v>85</v>
      </c>
      <c r="C25" s="44"/>
      <c r="D25" s="45"/>
      <c r="E25" s="1"/>
    </row>
    <row r="26" spans="1:5" ht="15" customHeight="1" x14ac:dyDescent="0.25">
      <c r="A26" s="1"/>
      <c r="B26" s="78" t="s">
        <v>231</v>
      </c>
      <c r="C26" s="71">
        <f>'Fane 11.2. Engangstillæg'!C12</f>
        <v>0</v>
      </c>
      <c r="D26" s="8" t="s">
        <v>3</v>
      </c>
      <c r="E26" s="1"/>
    </row>
    <row r="27" spans="1:5" ht="15" customHeight="1" x14ac:dyDescent="0.25">
      <c r="A27" s="1"/>
      <c r="B27" s="78" t="s">
        <v>82</v>
      </c>
      <c r="C27" s="71">
        <f>'Fane 11.2. Engangstillæg'!E12</f>
        <v>0</v>
      </c>
      <c r="D27" s="8" t="s">
        <v>3</v>
      </c>
      <c r="E27" s="1"/>
    </row>
    <row r="28" spans="1:5" ht="15" customHeight="1" x14ac:dyDescent="0.25">
      <c r="A28" s="1"/>
      <c r="B28" s="78" t="s">
        <v>238</v>
      </c>
      <c r="C28" s="71">
        <f>-C26*('Fane 15. Nøgletal'!C31+'Fane 5. Individuelt eff. krav'!G9)</f>
        <v>0</v>
      </c>
      <c r="D28" s="8" t="s">
        <v>3</v>
      </c>
      <c r="E28" s="1"/>
    </row>
    <row r="29" spans="1:5" ht="15" customHeight="1" x14ac:dyDescent="0.25">
      <c r="A29" s="1"/>
      <c r="B29" s="78" t="s">
        <v>239</v>
      </c>
      <c r="C29" s="71">
        <f>-C27*('Fane 15. Nøgletal'!C26+'Fane 5. Individuelt eff. krav'!G9)</f>
        <v>0</v>
      </c>
      <c r="D29" s="8" t="s">
        <v>3</v>
      </c>
      <c r="E29" s="1"/>
    </row>
    <row r="30" spans="1:5" ht="15" customHeight="1" x14ac:dyDescent="0.25">
      <c r="A30" s="1"/>
      <c r="B30" s="91" t="s">
        <v>87</v>
      </c>
      <c r="C30" s="10">
        <f>SUM(C26:C29)</f>
        <v>0</v>
      </c>
      <c r="D30" s="11" t="s">
        <v>3</v>
      </c>
      <c r="E30" s="1"/>
    </row>
    <row r="31" spans="1:5" x14ac:dyDescent="0.25">
      <c r="A31" s="1"/>
      <c r="B31" s="31" t="s">
        <v>143</v>
      </c>
      <c r="C31" s="26"/>
      <c r="D31" s="18"/>
      <c r="E31" s="1"/>
    </row>
    <row r="32" spans="1:5" x14ac:dyDescent="0.25">
      <c r="A32" s="1"/>
      <c r="B32" s="29" t="s">
        <v>180</v>
      </c>
      <c r="C32" s="10">
        <f>'Fane 7. Kontrol af ØR2021'!E28</f>
        <v>0</v>
      </c>
      <c r="D32" s="11" t="s">
        <v>3</v>
      </c>
      <c r="E32" s="1"/>
    </row>
    <row r="33" spans="1:5" ht="15" customHeight="1" x14ac:dyDescent="0.25">
      <c r="A33" s="1"/>
      <c r="B33" s="31" t="s">
        <v>185</v>
      </c>
      <c r="C33" s="26"/>
      <c r="D33" s="18"/>
      <c r="E33" s="1"/>
    </row>
    <row r="34" spans="1:5" x14ac:dyDescent="0.25">
      <c r="A34" s="1"/>
      <c r="B34" s="29" t="s">
        <v>185</v>
      </c>
      <c r="C34" s="10">
        <f>'Fane 9. Korrektion af ØR2021'!E17</f>
        <v>0</v>
      </c>
      <c r="D34" s="11" t="s">
        <v>3</v>
      </c>
      <c r="E34" s="1"/>
    </row>
    <row r="35" spans="1:5" x14ac:dyDescent="0.25">
      <c r="A35" s="1"/>
      <c r="B35" s="28" t="s">
        <v>175</v>
      </c>
      <c r="C35" s="26"/>
      <c r="D35" s="18"/>
      <c r="E35" s="1"/>
    </row>
    <row r="36" spans="1:5" x14ac:dyDescent="0.25">
      <c r="A36" s="1"/>
      <c r="B36" s="91" t="s">
        <v>176</v>
      </c>
      <c r="C36" s="10">
        <f>'Fane 8. Skattesagen'!G12</f>
        <v>0</v>
      </c>
      <c r="D36" s="11" t="s">
        <v>3</v>
      </c>
      <c r="E36" s="1"/>
    </row>
    <row r="37" spans="1:5" x14ac:dyDescent="0.25">
      <c r="A37" s="1"/>
      <c r="B37" s="31" t="s">
        <v>90</v>
      </c>
      <c r="C37" s="53">
        <f>SUM(C34,C32,C24,C30,C22,C20,C36)</f>
        <v>83859464.877012521</v>
      </c>
      <c r="D37" s="28"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IaWEn2UWFhtvsqXpRb0turkbBEP24P63H+WTLRj1CmoM+j6uMV2OFf/x4na1MUafkrUvOgeF0DMSHrNJO3AjMg==" saltValue="mTjxEb6lc9ijoDxZOJPDCw=="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53"/>
  <sheetViews>
    <sheetView showGridLines="0" tabSelected="1" view="pageLayout" zoomScaleNormal="100" workbookViewId="0"/>
  </sheetViews>
  <sheetFormatPr defaultColWidth="9.140625" defaultRowHeight="15" x14ac:dyDescent="0.25"/>
  <cols>
    <col min="1" max="1" width="11.140625" style="2" customWidth="1"/>
    <col min="2" max="2" width="55.42578125" style="2" customWidth="1"/>
    <col min="3" max="3" width="6.28515625" style="2" customWidth="1"/>
    <col min="4" max="4" width="12.28515625" style="2" customWidth="1"/>
    <col min="5" max="16384" width="9.140625" style="2"/>
  </cols>
  <sheetData>
    <row r="1" spans="1:4" x14ac:dyDescent="0.25">
      <c r="A1" s="1"/>
      <c r="B1" s="1"/>
      <c r="C1" s="1"/>
      <c r="D1" s="1"/>
    </row>
    <row r="2" spans="1:4" x14ac:dyDescent="0.25">
      <c r="A2" s="1"/>
      <c r="B2" s="1"/>
      <c r="C2" s="1"/>
      <c r="D2" s="1"/>
    </row>
    <row r="3" spans="1:4" ht="15" customHeight="1" x14ac:dyDescent="0.25">
      <c r="A3" s="1"/>
      <c r="B3" s="124" t="s">
        <v>261</v>
      </c>
      <c r="C3" s="124"/>
      <c r="D3" s="1"/>
    </row>
    <row r="4" spans="1:4" ht="25.5" customHeight="1" x14ac:dyDescent="0.25">
      <c r="A4" s="1"/>
      <c r="B4" s="124"/>
      <c r="C4" s="12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31" t="s">
        <v>14</v>
      </c>
      <c r="C8" s="18"/>
      <c r="D8" s="1"/>
    </row>
    <row r="9" spans="1:4" x14ac:dyDescent="0.25">
      <c r="A9" s="1"/>
      <c r="B9" s="90" t="s">
        <v>112</v>
      </c>
      <c r="C9" s="23">
        <v>1.2699999999999999E-2</v>
      </c>
      <c r="D9" s="1"/>
    </row>
    <row r="10" spans="1:4" x14ac:dyDescent="0.25">
      <c r="A10" s="1"/>
      <c r="B10" s="90" t="s">
        <v>113</v>
      </c>
      <c r="C10" s="23">
        <v>1.7500000000000002E-2</v>
      </c>
      <c r="D10" s="1"/>
    </row>
    <row r="11" spans="1:4" x14ac:dyDescent="0.25">
      <c r="A11" s="1"/>
      <c r="B11" s="90" t="s">
        <v>23</v>
      </c>
      <c r="C11" s="23">
        <v>1.6899999999999998E-2</v>
      </c>
      <c r="D11" s="1"/>
    </row>
    <row r="12" spans="1:4" x14ac:dyDescent="0.25">
      <c r="A12" s="1"/>
      <c r="B12" s="32" t="s">
        <v>172</v>
      </c>
      <c r="C12" s="33">
        <v>1.9699999999999999E-2</v>
      </c>
      <c r="D12" s="1"/>
    </row>
    <row r="13" spans="1:4" x14ac:dyDescent="0.25">
      <c r="A13" s="1"/>
      <c r="B13" s="32" t="s">
        <v>135</v>
      </c>
      <c r="C13" s="33">
        <v>1.2200000000000001E-2</v>
      </c>
      <c r="D13" s="1"/>
    </row>
    <row r="14" spans="1:4" x14ac:dyDescent="0.25">
      <c r="A14" s="1"/>
      <c r="B14" s="90" t="s">
        <v>171</v>
      </c>
      <c r="C14" s="41">
        <v>3.3E-3</v>
      </c>
      <c r="D14" s="1"/>
    </row>
    <row r="15" spans="1:4" x14ac:dyDescent="0.25">
      <c r="A15" s="1"/>
      <c r="B15" s="32" t="s">
        <v>223</v>
      </c>
      <c r="C15" s="66">
        <v>3.56E-2</v>
      </c>
      <c r="D15" s="1"/>
    </row>
    <row r="16" spans="1:4" x14ac:dyDescent="0.25">
      <c r="A16" s="1"/>
      <c r="B16" s="31"/>
      <c r="C16" s="18"/>
      <c r="D16" s="1"/>
    </row>
    <row r="17" spans="1:4" x14ac:dyDescent="0.25">
      <c r="A17" s="1"/>
      <c r="B17" s="1"/>
      <c r="C17" s="1"/>
      <c r="D17" s="1"/>
    </row>
    <row r="18" spans="1:4" x14ac:dyDescent="0.25">
      <c r="A18" s="1"/>
      <c r="B18" s="1"/>
      <c r="C18" s="1"/>
      <c r="D18" s="1"/>
    </row>
    <row r="19" spans="1:4" x14ac:dyDescent="0.25">
      <c r="A19" s="1"/>
      <c r="B19" s="31" t="s">
        <v>103</v>
      </c>
      <c r="C19" s="18"/>
      <c r="D19" s="1"/>
    </row>
    <row r="20" spans="1:4" x14ac:dyDescent="0.25">
      <c r="A20" s="1"/>
      <c r="B20" s="90" t="s">
        <v>114</v>
      </c>
      <c r="C20" s="21">
        <v>9.1000000000000004E-3</v>
      </c>
      <c r="D20" s="1"/>
    </row>
    <row r="21" spans="1:4" x14ac:dyDescent="0.25">
      <c r="A21" s="1"/>
      <c r="B21" s="90" t="s">
        <v>145</v>
      </c>
      <c r="C21" s="21">
        <v>1.77E-2</v>
      </c>
      <c r="D21" s="1"/>
    </row>
    <row r="22" spans="1:4" x14ac:dyDescent="0.25">
      <c r="A22" s="1"/>
      <c r="B22" s="90" t="s">
        <v>146</v>
      </c>
      <c r="C22" s="21">
        <v>8.6999999999999994E-3</v>
      </c>
      <c r="D22" s="1"/>
    </row>
    <row r="23" spans="1:4" x14ac:dyDescent="0.25">
      <c r="A23" s="1"/>
      <c r="B23" s="90" t="s">
        <v>115</v>
      </c>
      <c r="C23" s="34">
        <v>2.8400000000000002E-2</v>
      </c>
      <c r="D23" s="1"/>
    </row>
    <row r="24" spans="1:4" x14ac:dyDescent="0.25">
      <c r="A24" s="1"/>
      <c r="B24" s="90" t="s">
        <v>147</v>
      </c>
      <c r="C24" s="34">
        <v>2.75E-2</v>
      </c>
      <c r="D24" s="1"/>
    </row>
    <row r="25" spans="1:4" x14ac:dyDescent="0.25">
      <c r="A25" s="1"/>
      <c r="B25" s="90" t="s">
        <v>148</v>
      </c>
      <c r="C25" s="34">
        <v>1.4800000000000001E-2</v>
      </c>
      <c r="D25" s="1"/>
    </row>
    <row r="26" spans="1:4" x14ac:dyDescent="0.25">
      <c r="A26" s="1"/>
      <c r="B26" s="32" t="s">
        <v>216</v>
      </c>
      <c r="C26" s="67">
        <v>0</v>
      </c>
      <c r="D26" s="1"/>
    </row>
    <row r="27" spans="1:4" x14ac:dyDescent="0.25">
      <c r="A27" s="1"/>
      <c r="B27" s="31"/>
      <c r="C27" s="18"/>
      <c r="D27" s="1"/>
    </row>
    <row r="28" spans="1:4" x14ac:dyDescent="0.25">
      <c r="A28" s="1"/>
      <c r="B28" s="1"/>
      <c r="C28" s="1"/>
      <c r="D28" s="1"/>
    </row>
    <row r="29" spans="1:4" x14ac:dyDescent="0.25">
      <c r="A29" s="1"/>
      <c r="B29" s="1"/>
      <c r="C29" s="1"/>
      <c r="D29" s="1"/>
    </row>
    <row r="30" spans="1:4" x14ac:dyDescent="0.25">
      <c r="A30" s="1"/>
      <c r="B30" s="31" t="s">
        <v>104</v>
      </c>
      <c r="C30" s="18"/>
      <c r="D30" s="1"/>
    </row>
    <row r="31" spans="1:4" x14ac:dyDescent="0.25">
      <c r="A31" s="1"/>
      <c r="B31" s="90" t="s">
        <v>116</v>
      </c>
      <c r="C31" s="23">
        <v>0.02</v>
      </c>
      <c r="D31" s="1"/>
    </row>
    <row r="32" spans="1:4" x14ac:dyDescent="0.25">
      <c r="A32" s="1"/>
      <c r="B32" s="31"/>
      <c r="C32" s="18"/>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48"/>
      <c r="B50" s="48"/>
      <c r="C50" s="48"/>
      <c r="D50" s="48"/>
    </row>
    <row r="51" spans="1:4" x14ac:dyDescent="0.25">
      <c r="A51" s="48"/>
      <c r="B51" s="48"/>
      <c r="C51" s="48"/>
      <c r="D51" s="48"/>
    </row>
    <row r="52" spans="1:4" x14ac:dyDescent="0.25">
      <c r="A52" s="48"/>
      <c r="B52" s="48"/>
      <c r="C52" s="48"/>
      <c r="D52" s="48"/>
    </row>
    <row r="53" spans="1:4" x14ac:dyDescent="0.25">
      <c r="A53" s="48"/>
      <c r="B53" s="48"/>
      <c r="C53" s="48"/>
      <c r="D53" s="48"/>
    </row>
  </sheetData>
  <sheetProtection algorithmName="SHA-512" hashValue="9dnSZmt3tE+XusGdQmNO1ByhPObs0AeT+WbT5SafqelSBKt0Hdrk1qwf61b5ooBJUbHweQlzjMY8kRpm63i8rQ==" saltValue="CAiaiqC7FSa8aL+ndingz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45"/>
  <sheetViews>
    <sheetView showGridLines="0" view="pageLayout" topLeftCell="A7" zoomScale="90" zoomScaleNormal="100" zoomScalePageLayoutView="90" workbookViewId="0"/>
  </sheetViews>
  <sheetFormatPr defaultColWidth="9.140625" defaultRowHeight="15" x14ac:dyDescent="0.25"/>
  <cols>
    <col min="1" max="1" width="5.140625" style="2" customWidth="1"/>
    <col min="2" max="2" width="49.42578125" style="2" customWidth="1"/>
    <col min="3" max="3" width="15.7109375" style="2" customWidth="1"/>
    <col min="4" max="4" width="3.28515625" style="2" customWidth="1"/>
    <col min="5" max="5" width="10"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186</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1"/>
      <c r="C6" s="1"/>
      <c r="D6" s="1"/>
      <c r="E6" s="1"/>
    </row>
    <row r="7" spans="1:5" x14ac:dyDescent="0.25">
      <c r="A7" s="1"/>
      <c r="B7" s="1"/>
      <c r="C7" s="1"/>
      <c r="D7" s="1"/>
      <c r="E7" s="1"/>
    </row>
    <row r="8" spans="1:5" x14ac:dyDescent="0.25">
      <c r="A8" s="1"/>
      <c r="B8" s="31" t="s">
        <v>13</v>
      </c>
      <c r="C8" s="26"/>
      <c r="D8" s="18"/>
      <c r="E8" s="1"/>
    </row>
    <row r="9" spans="1:5" ht="15" customHeight="1" x14ac:dyDescent="0.25">
      <c r="A9" s="1"/>
      <c r="B9" s="27" t="s">
        <v>127</v>
      </c>
      <c r="C9" s="7">
        <f>'Fane 2.1. Økonomisk ramme 2023'!C20</f>
        <v>76451056.21884647</v>
      </c>
      <c r="D9" s="8" t="s">
        <v>3</v>
      </c>
      <c r="E9" s="1"/>
    </row>
    <row r="10" spans="1:5" ht="15" customHeight="1" x14ac:dyDescent="0.25">
      <c r="A10" s="1"/>
      <c r="B10" s="24" t="s">
        <v>19</v>
      </c>
      <c r="C10" s="7">
        <f>SUM(C9:C9)*'Fane 15. Nøgletal'!C15</f>
        <v>2721657.6013909341</v>
      </c>
      <c r="D10" s="8" t="s">
        <v>3</v>
      </c>
      <c r="E10" s="1"/>
    </row>
    <row r="11" spans="1:5" ht="15" customHeight="1" x14ac:dyDescent="0.25">
      <c r="A11" s="1"/>
      <c r="B11" s="24" t="s">
        <v>10</v>
      </c>
      <c r="C11" s="9">
        <f>-SUM(C9:C10)*'Fane 5. Individuelt eff. krav'!G9</f>
        <v>-815061.37063156313</v>
      </c>
      <c r="D11" s="8" t="s">
        <v>3</v>
      </c>
      <c r="E11" s="1"/>
    </row>
    <row r="12" spans="1:5" ht="15" customHeight="1" x14ac:dyDescent="0.25">
      <c r="A12" s="1"/>
      <c r="B12" s="24" t="s">
        <v>24</v>
      </c>
      <c r="C12" s="9">
        <f>-'Fane 4.1. Gen. krav - drift'!G53</f>
        <v>-563746.58554991311</v>
      </c>
      <c r="D12" s="8" t="s">
        <v>3</v>
      </c>
      <c r="E12" s="1"/>
    </row>
    <row r="13" spans="1:5" ht="15" customHeight="1" x14ac:dyDescent="0.25">
      <c r="A13" s="1"/>
      <c r="B13" s="24" t="s">
        <v>25</v>
      </c>
      <c r="C13" s="9">
        <f>-'Fane 4.2. Gen. krav - anlæg'!G54</f>
        <v>0</v>
      </c>
      <c r="D13" s="8" t="s">
        <v>3</v>
      </c>
      <c r="E13" s="1"/>
    </row>
    <row r="14" spans="1:5" ht="15" customHeight="1" x14ac:dyDescent="0.25">
      <c r="A14" s="1"/>
      <c r="B14" s="25" t="s">
        <v>21</v>
      </c>
      <c r="C14" s="10">
        <f>SUM(C9:C13)</f>
        <v>77793905.864055932</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Nøgletal'!C15)+'Fane 6. Ikke-påvirkelige omk.'!C21+'Fane 6. Ikke-påvirkelige omk.'!C29</f>
        <v>7672148.0063967565</v>
      </c>
      <c r="D16" s="11" t="s">
        <v>3</v>
      </c>
      <c r="E16" s="1"/>
    </row>
    <row r="17" spans="1:5" ht="15" customHeight="1" x14ac:dyDescent="0.25">
      <c r="A17" s="1"/>
      <c r="B17" s="31" t="s">
        <v>86</v>
      </c>
      <c r="C17" s="26"/>
      <c r="D17" s="18"/>
      <c r="E17" s="1"/>
    </row>
    <row r="18" spans="1:5" ht="15" customHeight="1" x14ac:dyDescent="0.25">
      <c r="A18" s="1"/>
      <c r="B18" s="84" t="s">
        <v>86</v>
      </c>
      <c r="C18" s="10">
        <f>'Fane 12. Periodevise driftsomk.'!E19</f>
        <v>0</v>
      </c>
      <c r="D18" s="11" t="s">
        <v>3</v>
      </c>
      <c r="E18" s="1"/>
    </row>
    <row r="19" spans="1:5"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Skattesagen'!G13</f>
        <v>0</v>
      </c>
      <c r="D22" s="11" t="s">
        <v>3</v>
      </c>
      <c r="E22" s="1"/>
    </row>
    <row r="23" spans="1:5" x14ac:dyDescent="0.25">
      <c r="A23" s="1"/>
      <c r="B23" s="31" t="s">
        <v>128</v>
      </c>
      <c r="C23" s="12">
        <f>SUM(C14,C16,C18,C20,C22)</f>
        <v>85466053.870452687</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jmAssMfXvNEupeTiTQQKxxQAmPeX4fvab+iKcjA2dIZRMD4cjprlhCWxx85bJOE++RWwMRRT0Ya+z7oDlI34ig==" saltValue="HqDHls5NE7qEiaDZv18doA=="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45"/>
  <sheetViews>
    <sheetView showGridLines="0" view="pageLayout" topLeftCell="A4" zoomScaleNormal="100" workbookViewId="0"/>
  </sheetViews>
  <sheetFormatPr defaultColWidth="9.140625" defaultRowHeight="15" x14ac:dyDescent="0.25"/>
  <cols>
    <col min="1" max="1" width="5.140625" style="2" customWidth="1"/>
    <col min="2" max="2" width="50.5703125" style="2" customWidth="1"/>
    <col min="3" max="3" width="16.2851562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187</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233</v>
      </c>
      <c r="C9" s="7">
        <f>'Fane 2.2. Økonomisk ramme 2024'!C14</f>
        <v>77793905.864055932</v>
      </c>
      <c r="D9" s="8" t="s">
        <v>3</v>
      </c>
      <c r="E9" s="1"/>
    </row>
    <row r="10" spans="1:5" ht="15" customHeight="1" x14ac:dyDescent="0.25">
      <c r="A10" s="1"/>
      <c r="B10" s="24" t="s">
        <v>19</v>
      </c>
      <c r="C10" s="7">
        <f>SUM(C9:C9)*'Fane 15. Nøgletal'!C15</f>
        <v>2769463.0487603913</v>
      </c>
      <c r="D10" s="8" t="s">
        <v>3</v>
      </c>
      <c r="E10" s="1"/>
    </row>
    <row r="11" spans="1:5" ht="15" customHeight="1" x14ac:dyDescent="0.25">
      <c r="A11" s="1"/>
      <c r="B11" s="24" t="s">
        <v>10</v>
      </c>
      <c r="C11" s="9">
        <f>-SUM(C9:C10)*'Fane 5. Individuelt eff. krav'!G9</f>
        <v>-829377.78333413496</v>
      </c>
      <c r="D11" s="8" t="s">
        <v>3</v>
      </c>
      <c r="E11" s="1"/>
    </row>
    <row r="12" spans="1:5" ht="15" customHeight="1" x14ac:dyDescent="0.25">
      <c r="A12" s="1"/>
      <c r="B12" s="24" t="s">
        <v>24</v>
      </c>
      <c r="C12" s="9">
        <f>-'Fane 4.1. Gen. krav - drift'!G58</f>
        <v>-572139.64471558016</v>
      </c>
      <c r="D12" s="8" t="s">
        <v>3</v>
      </c>
      <c r="E12" s="1"/>
    </row>
    <row r="13" spans="1:5" ht="15" customHeight="1" x14ac:dyDescent="0.25">
      <c r="A13" s="1"/>
      <c r="B13" s="24" t="s">
        <v>25</v>
      </c>
      <c r="C13" s="9">
        <f>-'Fane 4.2. Gen. krav - anlæg'!G59</f>
        <v>0</v>
      </c>
      <c r="D13" s="8" t="s">
        <v>3</v>
      </c>
      <c r="E13" s="1"/>
    </row>
    <row r="14" spans="1:5" x14ac:dyDescent="0.25">
      <c r="A14" s="1"/>
      <c r="B14" s="25" t="s">
        <v>21</v>
      </c>
      <c r="C14" s="10">
        <f>SUM(C9:C13)</f>
        <v>79161851.484766603</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Nøgletal'!C15)^2+'Fane 6. Ikke-påvirkelige omk.'!C22+'Fane 6. Ikke-påvirkelige omk.'!C30</f>
        <v>7945276.4754244806</v>
      </c>
      <c r="D16" s="11" t="s">
        <v>3</v>
      </c>
      <c r="E16" s="1"/>
    </row>
    <row r="17" spans="1:5" ht="15" customHeight="1" x14ac:dyDescent="0.25">
      <c r="A17" s="1"/>
      <c r="B17" s="31" t="s">
        <v>86</v>
      </c>
      <c r="C17" s="26"/>
      <c r="D17" s="18"/>
      <c r="E17" s="1"/>
    </row>
    <row r="18" spans="1:5" ht="15" customHeight="1" x14ac:dyDescent="0.25">
      <c r="A18" s="1"/>
      <c r="B18" s="84" t="s">
        <v>86</v>
      </c>
      <c r="C18" s="10">
        <f>'Fane 12. Periodevise driftsomk.'!E25</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Skattesagen'!G14</f>
        <v>0</v>
      </c>
      <c r="D22" s="11" t="s">
        <v>3</v>
      </c>
      <c r="E22" s="1"/>
    </row>
    <row r="23" spans="1:5" x14ac:dyDescent="0.25">
      <c r="A23" s="1"/>
      <c r="B23" s="31" t="s">
        <v>149</v>
      </c>
      <c r="C23" s="12">
        <f>SUM(C14,C16,C18,C20,C22)</f>
        <v>87107127.960191086</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F+OEGekpeWoXkKfE+Zs1P+xvQfwE6x38Iufg+8JrQsTmY0SmEdbnFGjZ/9W++tWfkwSDw3qYh2+H5p98e2CgOA==" saltValue="gNV84ywQv7q3TswROUb1bQ=="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47"/>
  <sheetViews>
    <sheetView showGridLines="0" view="pageLayout" zoomScale="99" zoomScaleNormal="100" zoomScalePageLayoutView="99" workbookViewId="0"/>
  </sheetViews>
  <sheetFormatPr defaultColWidth="9.140625" defaultRowHeight="15" x14ac:dyDescent="0.25"/>
  <cols>
    <col min="1" max="1" width="5.140625" style="2" customWidth="1"/>
    <col min="2" max="2" width="48.85546875" style="2" customWidth="1"/>
    <col min="3" max="3" width="13.7109375" style="2" customWidth="1"/>
    <col min="4" max="4" width="3.28515625" style="2" customWidth="1"/>
    <col min="5" max="5" width="5.140625" style="2" customWidth="1"/>
    <col min="6" max="16384" width="9.140625" style="2"/>
  </cols>
  <sheetData>
    <row r="1" spans="1:5" x14ac:dyDescent="0.25">
      <c r="A1" s="1"/>
      <c r="B1" s="1"/>
      <c r="C1" s="1"/>
      <c r="D1" s="1"/>
      <c r="E1" s="1"/>
    </row>
    <row r="2" spans="1:5" x14ac:dyDescent="0.25">
      <c r="A2" s="1"/>
      <c r="B2" s="1"/>
      <c r="C2" s="1"/>
      <c r="D2" s="1"/>
      <c r="E2" s="1"/>
    </row>
    <row r="3" spans="1:5" ht="15" customHeight="1" x14ac:dyDescent="0.25">
      <c r="A3" s="1"/>
      <c r="B3" s="119" t="s">
        <v>188</v>
      </c>
      <c r="C3" s="119"/>
      <c r="D3" s="119"/>
      <c r="E3" s="1"/>
    </row>
    <row r="4" spans="1:5" ht="15" customHeight="1" x14ac:dyDescent="0.25">
      <c r="A4" s="1"/>
      <c r="B4" s="119"/>
      <c r="C4" s="119"/>
      <c r="D4" s="119"/>
      <c r="E4" s="1"/>
    </row>
    <row r="5" spans="1:5" x14ac:dyDescent="0.25">
      <c r="A5" s="1"/>
      <c r="B5" s="120" t="s">
        <v>22</v>
      </c>
      <c r="C5" s="120"/>
      <c r="D5" s="120"/>
      <c r="E5" s="1"/>
    </row>
    <row r="6" spans="1:5" x14ac:dyDescent="0.25">
      <c r="A6" s="1"/>
      <c r="B6" s="77"/>
      <c r="C6" s="77"/>
      <c r="D6" s="77"/>
      <c r="E6" s="1"/>
    </row>
    <row r="7" spans="1:5" x14ac:dyDescent="0.25">
      <c r="A7" s="1"/>
      <c r="B7" s="1"/>
      <c r="C7" s="1"/>
      <c r="D7" s="1"/>
      <c r="E7" s="1"/>
    </row>
    <row r="8" spans="1:5" x14ac:dyDescent="0.25">
      <c r="A8" s="1"/>
      <c r="B8" s="31" t="s">
        <v>13</v>
      </c>
      <c r="C8" s="26"/>
      <c r="D8" s="18"/>
      <c r="E8" s="1"/>
    </row>
    <row r="9" spans="1:5" ht="15" customHeight="1" x14ac:dyDescent="0.25">
      <c r="A9" s="1"/>
      <c r="B9" s="27" t="s">
        <v>189</v>
      </c>
      <c r="C9" s="7">
        <f>'Fane 2.3. Økonomisk ramme 2025'!C14</f>
        <v>79161851.484766603</v>
      </c>
      <c r="D9" s="8" t="s">
        <v>3</v>
      </c>
      <c r="E9" s="1"/>
    </row>
    <row r="10" spans="1:5" ht="15" customHeight="1" x14ac:dyDescent="0.25">
      <c r="A10" s="1"/>
      <c r="B10" s="24" t="s">
        <v>19</v>
      </c>
      <c r="C10" s="7">
        <f>SUM(C9:C9)*'Fane 15. Nøgletal'!C15</f>
        <v>2818161.9128576908</v>
      </c>
      <c r="D10" s="8" t="s">
        <v>3</v>
      </c>
      <c r="E10" s="1"/>
    </row>
    <row r="11" spans="1:5" ht="15" customHeight="1" x14ac:dyDescent="0.25">
      <c r="A11" s="1"/>
      <c r="B11" s="24" t="s">
        <v>10</v>
      </c>
      <c r="C11" s="9">
        <f>-SUM(C9:C10)*'Fane 5. Individuelt eff. krav'!G9</f>
        <v>-843961.74970046279</v>
      </c>
      <c r="D11" s="8" t="s">
        <v>3</v>
      </c>
      <c r="E11" s="1"/>
    </row>
    <row r="12" spans="1:5" ht="15" customHeight="1" x14ac:dyDescent="0.25">
      <c r="A12" s="1"/>
      <c r="B12" s="24" t="s">
        <v>24</v>
      </c>
      <c r="C12" s="9">
        <f>-'Fane 4.1. Gen. krav - drift'!G63</f>
        <v>-580657.65974610578</v>
      </c>
      <c r="D12" s="8" t="s">
        <v>3</v>
      </c>
      <c r="E12" s="1"/>
    </row>
    <row r="13" spans="1:5" ht="15" customHeight="1" x14ac:dyDescent="0.25">
      <c r="A13" s="1"/>
      <c r="B13" s="24" t="s">
        <v>25</v>
      </c>
      <c r="C13" s="9">
        <f>-'Fane 4.2. Gen. krav - anlæg'!G64</f>
        <v>0</v>
      </c>
      <c r="D13" s="8" t="s">
        <v>3</v>
      </c>
      <c r="E13" s="1"/>
    </row>
    <row r="14" spans="1:5" ht="14.25" customHeight="1" x14ac:dyDescent="0.25">
      <c r="A14" s="1"/>
      <c r="B14" s="25" t="s">
        <v>21</v>
      </c>
      <c r="C14" s="10">
        <f>SUM(C9:C13)</f>
        <v>80555393.988177732</v>
      </c>
      <c r="D14" s="11" t="s">
        <v>3</v>
      </c>
      <c r="E14" s="1"/>
    </row>
    <row r="15" spans="1:5" x14ac:dyDescent="0.25">
      <c r="A15" s="1"/>
      <c r="B15" s="31" t="s">
        <v>12</v>
      </c>
      <c r="C15" s="26"/>
      <c r="D15" s="18"/>
      <c r="E15" s="1"/>
    </row>
    <row r="16" spans="1:5" ht="15" customHeight="1" x14ac:dyDescent="0.25">
      <c r="A16" s="1"/>
      <c r="B16" s="29" t="s">
        <v>12</v>
      </c>
      <c r="C16" s="10">
        <f>'Fane 6. Ikke-påvirkelige omk.'!C16*(1+'Fane 15. Nøgletal'!C15)^3+'Fane 6. Ikke-påvirkelige omk.'!C23+'Fane 6. Ikke-påvirkelige omk.'!C31</f>
        <v>8228128.3179495931</v>
      </c>
      <c r="D16" s="11" t="s">
        <v>3</v>
      </c>
      <c r="E16" s="1"/>
    </row>
    <row r="17" spans="1:5" ht="15" customHeight="1" x14ac:dyDescent="0.25">
      <c r="A17" s="1"/>
      <c r="B17" s="31" t="s">
        <v>86</v>
      </c>
      <c r="C17" s="26"/>
      <c r="D17" s="18"/>
      <c r="E17" s="1"/>
    </row>
    <row r="18" spans="1:5" ht="15" customHeight="1" x14ac:dyDescent="0.25">
      <c r="A18" s="1"/>
      <c r="B18" s="84" t="s">
        <v>86</v>
      </c>
      <c r="C18" s="10">
        <f>'Fane 12. Periodevise driftsomk.'!E31</f>
        <v>0</v>
      </c>
      <c r="D18" s="11" t="s">
        <v>3</v>
      </c>
      <c r="E18" s="1"/>
    </row>
    <row r="19" spans="1:5" ht="15" customHeight="1" x14ac:dyDescent="0.25">
      <c r="A19" s="1"/>
      <c r="B19" s="31" t="s">
        <v>143</v>
      </c>
      <c r="C19" s="26"/>
      <c r="D19" s="18"/>
      <c r="E19" s="1"/>
    </row>
    <row r="20" spans="1:5" ht="15" customHeight="1" x14ac:dyDescent="0.25">
      <c r="A20" s="1"/>
      <c r="B20" s="29" t="s">
        <v>180</v>
      </c>
      <c r="C20" s="10">
        <f>'Fane 7. Kontrol af ØR2021'!E34</f>
        <v>0</v>
      </c>
      <c r="D20" s="11" t="s">
        <v>3</v>
      </c>
      <c r="E20" s="1"/>
    </row>
    <row r="21" spans="1:5" x14ac:dyDescent="0.25">
      <c r="A21" s="1"/>
      <c r="B21" s="28" t="s">
        <v>175</v>
      </c>
      <c r="C21" s="26"/>
      <c r="D21" s="18"/>
      <c r="E21" s="1"/>
    </row>
    <row r="22" spans="1:5" x14ac:dyDescent="0.25">
      <c r="A22" s="1"/>
      <c r="B22" s="91" t="s">
        <v>176</v>
      </c>
      <c r="C22" s="10">
        <f>'Fane 8. Skattesagen'!G15</f>
        <v>0</v>
      </c>
      <c r="D22" s="11" t="s">
        <v>3</v>
      </c>
      <c r="E22" s="1"/>
    </row>
    <row r="23" spans="1:5" x14ac:dyDescent="0.25">
      <c r="A23" s="1"/>
      <c r="B23" s="31" t="s">
        <v>190</v>
      </c>
      <c r="C23" s="12">
        <f>SUM(C14,C16,C18,C20,C22)</f>
        <v>88783522.306127325</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peR78nH/2apPaO2v4vwgwzElWay5TWua0Dgp08CTsybEM5dzxFacrhJ2oGzA+psxXbth2L7zbTPlrh63He0/XA==" saltValue="JB8ZF16UpxNgjTYO+K/uyg=="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52"/>
  <sheetViews>
    <sheetView showGridLines="0" view="pageLayout" topLeftCell="A4" zoomScale="99" zoomScaleNormal="100" zoomScalePageLayoutView="99" workbookViewId="0">
      <selection activeCell="B38" sqref="B38"/>
    </sheetView>
  </sheetViews>
  <sheetFormatPr defaultColWidth="9.140625" defaultRowHeight="15" x14ac:dyDescent="0.25"/>
  <cols>
    <col min="1" max="1" width="7.85546875" style="2" customWidth="1"/>
    <col min="2" max="2" width="12.28515625" style="2" customWidth="1"/>
    <col min="3" max="3" width="12" style="2" customWidth="1"/>
    <col min="4" max="4" width="26" style="2" customWidth="1"/>
    <col min="5" max="5" width="10.85546875" style="2" customWidth="1"/>
    <col min="6" max="6" width="3.5703125" style="2" bestFit="1" customWidth="1"/>
    <col min="7" max="7" width="7.85546875" style="2" customWidth="1"/>
    <col min="8" max="16384" width="9.140625"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191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1" t="s">
        <v>288</v>
      </c>
      <c r="C8" s="26"/>
      <c r="D8" s="26"/>
      <c r="E8" s="26"/>
      <c r="F8" s="18"/>
      <c r="G8" s="1"/>
    </row>
    <row r="9" spans="1:7" ht="15" customHeight="1" x14ac:dyDescent="0.25">
      <c r="A9" s="1"/>
      <c r="B9" s="121" t="s">
        <v>192</v>
      </c>
      <c r="C9" s="122"/>
      <c r="D9" s="123"/>
      <c r="E9" s="7">
        <v>76140670.529444277</v>
      </c>
      <c r="F9" s="8" t="s">
        <v>3</v>
      </c>
      <c r="G9" s="1"/>
    </row>
    <row r="10" spans="1:7" ht="15" customHeight="1" x14ac:dyDescent="0.25">
      <c r="A10" s="1"/>
      <c r="B10" s="125" t="s">
        <v>39</v>
      </c>
      <c r="C10" s="126"/>
      <c r="D10" s="127"/>
      <c r="E10" s="7">
        <v>0</v>
      </c>
      <c r="F10" s="8" t="s">
        <v>3</v>
      </c>
      <c r="G10" s="1"/>
    </row>
    <row r="11" spans="1:7" ht="15" customHeight="1" x14ac:dyDescent="0.25">
      <c r="A11" s="1"/>
      <c r="B11" s="125" t="s">
        <v>40</v>
      </c>
      <c r="C11" s="126"/>
      <c r="D11" s="127"/>
      <c r="E11" s="9">
        <v>0</v>
      </c>
      <c r="F11" s="8" t="s">
        <v>3</v>
      </c>
      <c r="G11" s="1"/>
    </row>
    <row r="12" spans="1:7" ht="15" customHeight="1" x14ac:dyDescent="0.25">
      <c r="A12" s="1"/>
      <c r="B12" s="125" t="s">
        <v>27</v>
      </c>
      <c r="C12" s="126"/>
      <c r="D12" s="127"/>
      <c r="E12" s="9">
        <v>0</v>
      </c>
      <c r="F12" s="8" t="s">
        <v>3</v>
      </c>
      <c r="G12" s="1"/>
    </row>
    <row r="13" spans="1:7" ht="15" customHeight="1" x14ac:dyDescent="0.25">
      <c r="A13" s="1"/>
      <c r="B13" s="121" t="s">
        <v>26</v>
      </c>
      <c r="C13" s="122"/>
      <c r="D13" s="123"/>
      <c r="E13" s="9">
        <v>0</v>
      </c>
      <c r="F13" s="8" t="s">
        <v>3</v>
      </c>
      <c r="G13" s="1"/>
    </row>
    <row r="14" spans="1:7" ht="15" customHeight="1" x14ac:dyDescent="0.25">
      <c r="A14" s="1"/>
      <c r="B14" s="121" t="s">
        <v>29</v>
      </c>
      <c r="C14" s="122"/>
      <c r="D14" s="123"/>
      <c r="E14" s="9">
        <v>0</v>
      </c>
      <c r="F14" s="8" t="s">
        <v>3</v>
      </c>
      <c r="G14" s="1"/>
    </row>
    <row r="15" spans="1:7" ht="15" customHeight="1" x14ac:dyDescent="0.25">
      <c r="A15" s="1"/>
      <c r="B15" s="121" t="s">
        <v>28</v>
      </c>
      <c r="C15" s="122"/>
      <c r="D15" s="123"/>
      <c r="E15" s="9">
        <v>0</v>
      </c>
      <c r="F15" s="8" t="s">
        <v>3</v>
      </c>
      <c r="G15" s="1"/>
    </row>
    <row r="16" spans="1:7" ht="15" customHeight="1" x14ac:dyDescent="0.25">
      <c r="A16" s="1"/>
      <c r="B16" s="121" t="s">
        <v>19</v>
      </c>
      <c r="C16" s="122"/>
      <c r="D16" s="123"/>
      <c r="E16" s="9">
        <f>SUM(E9:E15)*'Fane 15. Nøgletal'!C14</f>
        <v>251264.21274716611</v>
      </c>
      <c r="F16" s="8" t="s">
        <v>3</v>
      </c>
      <c r="G16" s="1"/>
    </row>
    <row r="17" spans="1:7" ht="15" customHeight="1" x14ac:dyDescent="0.25">
      <c r="A17" s="1"/>
      <c r="B17" s="121" t="s">
        <v>10</v>
      </c>
      <c r="C17" s="122"/>
      <c r="D17" s="123"/>
      <c r="E17" s="9">
        <v>-786434.01282844634</v>
      </c>
      <c r="F17" s="8" t="s">
        <v>3</v>
      </c>
      <c r="G17" s="1"/>
    </row>
    <row r="18" spans="1:7" ht="15" customHeight="1" x14ac:dyDescent="0.25">
      <c r="A18" s="1"/>
      <c r="B18" s="121" t="s">
        <v>24</v>
      </c>
      <c r="C18" s="122"/>
      <c r="D18" s="123"/>
      <c r="E18" s="9">
        <f>-'Fane 4.1. Gen. krav - drift'!G39</f>
        <v>-508800.50398420973</v>
      </c>
      <c r="F18" s="8" t="s">
        <v>3</v>
      </c>
      <c r="G18" s="1"/>
    </row>
    <row r="19" spans="1:7" ht="15" customHeight="1" x14ac:dyDescent="0.25">
      <c r="A19" s="1"/>
      <c r="B19" s="121" t="s">
        <v>25</v>
      </c>
      <c r="C19" s="122"/>
      <c r="D19" s="123"/>
      <c r="E19" s="9">
        <f>-'Fane 4.2. Gen. krav - anlæg'!G37</f>
        <v>-832583.78995508759</v>
      </c>
      <c r="F19" s="8" t="s">
        <v>3</v>
      </c>
      <c r="G19" s="1"/>
    </row>
    <row r="20" spans="1:7" ht="15" customHeight="1" x14ac:dyDescent="0.25">
      <c r="A20" s="1"/>
      <c r="B20" s="52" t="s">
        <v>21</v>
      </c>
      <c r="C20" s="95"/>
      <c r="D20" s="97"/>
      <c r="E20" s="50">
        <f>SUM(E9:E19)</f>
        <v>74264116.435423702</v>
      </c>
      <c r="F20" s="51" t="s">
        <v>3</v>
      </c>
      <c r="G20" s="1"/>
    </row>
    <row r="21" spans="1:7" ht="15" customHeight="1" x14ac:dyDescent="0.25">
      <c r="A21" s="1"/>
      <c r="B21" s="31" t="s">
        <v>12</v>
      </c>
      <c r="C21" s="26"/>
      <c r="D21" s="26"/>
      <c r="E21" s="26"/>
      <c r="F21" s="18"/>
      <c r="G21" s="1"/>
    </row>
    <row r="22" spans="1:7" ht="15" customHeight="1" x14ac:dyDescent="0.25">
      <c r="A22" s="1"/>
      <c r="B22" s="128" t="s">
        <v>12</v>
      </c>
      <c r="C22" s="129"/>
      <c r="D22" s="130"/>
      <c r="E22" s="10">
        <v>8928280.2408231609</v>
      </c>
      <c r="F22" s="11" t="s">
        <v>3</v>
      </c>
      <c r="G22" s="1"/>
    </row>
    <row r="23" spans="1:7" ht="15" customHeight="1" x14ac:dyDescent="0.25">
      <c r="A23" s="1"/>
      <c r="B23" s="131" t="s">
        <v>86</v>
      </c>
      <c r="C23" s="132"/>
      <c r="D23" s="133"/>
      <c r="E23" s="26"/>
      <c r="F23" s="18"/>
      <c r="G23" s="1"/>
    </row>
    <row r="24" spans="1:7" ht="15" customHeight="1" x14ac:dyDescent="0.25">
      <c r="A24" s="1"/>
      <c r="B24" s="94" t="s">
        <v>86</v>
      </c>
      <c r="C24" s="36"/>
      <c r="D24" s="37"/>
      <c r="E24" s="10">
        <v>0</v>
      </c>
      <c r="F24" s="11" t="s">
        <v>3</v>
      </c>
      <c r="G24" s="1"/>
    </row>
    <row r="25" spans="1:7" x14ac:dyDescent="0.25">
      <c r="A25" s="1"/>
      <c r="B25" s="31" t="s">
        <v>85</v>
      </c>
      <c r="C25" s="26"/>
      <c r="D25" s="26"/>
      <c r="E25" s="26"/>
      <c r="F25" s="18"/>
      <c r="G25" s="1"/>
    </row>
    <row r="26" spans="1:7" ht="15" customHeight="1" x14ac:dyDescent="0.25">
      <c r="A26" s="1"/>
      <c r="B26" s="125" t="s">
        <v>81</v>
      </c>
      <c r="C26" s="126"/>
      <c r="D26" s="127"/>
      <c r="E26" s="9">
        <v>0</v>
      </c>
      <c r="F26" s="8" t="s">
        <v>3</v>
      </c>
      <c r="G26" s="1"/>
    </row>
    <row r="27" spans="1:7" ht="15" customHeight="1" x14ac:dyDescent="0.25">
      <c r="A27" s="1"/>
      <c r="B27" s="125" t="s">
        <v>82</v>
      </c>
      <c r="C27" s="126"/>
      <c r="D27" s="126"/>
      <c r="E27" s="9">
        <v>0</v>
      </c>
      <c r="F27" s="8" t="s">
        <v>3</v>
      </c>
      <c r="G27" s="1"/>
    </row>
    <row r="28" spans="1:7" ht="15" customHeight="1" x14ac:dyDescent="0.25">
      <c r="A28" s="1"/>
      <c r="B28" s="134" t="s">
        <v>87</v>
      </c>
      <c r="C28" s="135"/>
      <c r="D28" s="135"/>
      <c r="E28" s="38">
        <v>0</v>
      </c>
      <c r="F28" s="11" t="s">
        <v>3</v>
      </c>
      <c r="G28" s="1"/>
    </row>
    <row r="29" spans="1:7" ht="15" customHeight="1" x14ac:dyDescent="0.25">
      <c r="A29" s="1"/>
      <c r="B29" s="31" t="s">
        <v>143</v>
      </c>
      <c r="C29" s="31"/>
      <c r="D29" s="31"/>
      <c r="E29" s="26"/>
      <c r="F29" s="18"/>
      <c r="G29" s="1"/>
    </row>
    <row r="30" spans="1:7" ht="15" customHeight="1" x14ac:dyDescent="0.25">
      <c r="A30" s="1"/>
      <c r="B30" s="128" t="s">
        <v>142</v>
      </c>
      <c r="C30" s="129"/>
      <c r="D30" s="129"/>
      <c r="E30" s="38">
        <v>0</v>
      </c>
      <c r="F30" s="11" t="s">
        <v>3</v>
      </c>
      <c r="G30" s="1"/>
    </row>
    <row r="31" spans="1:7" x14ac:dyDescent="0.25">
      <c r="A31" s="1"/>
      <c r="B31" s="31" t="s">
        <v>123</v>
      </c>
      <c r="C31" s="26"/>
      <c r="D31" s="26"/>
      <c r="E31" s="26"/>
      <c r="F31" s="18"/>
      <c r="G31" s="1"/>
    </row>
    <row r="32" spans="1:7" ht="15.4" customHeight="1" x14ac:dyDescent="0.25">
      <c r="A32" s="1"/>
      <c r="B32" s="128" t="s">
        <v>123</v>
      </c>
      <c r="C32" s="129"/>
      <c r="D32" s="130"/>
      <c r="E32" s="10">
        <v>0</v>
      </c>
      <c r="F32" s="11" t="s">
        <v>3</v>
      </c>
      <c r="G32" s="1"/>
    </row>
    <row r="33" spans="1:7" ht="15.4" customHeight="1" x14ac:dyDescent="0.25">
      <c r="A33" s="1"/>
      <c r="B33" s="131" t="s">
        <v>175</v>
      </c>
      <c r="C33" s="132"/>
      <c r="D33" s="132"/>
      <c r="E33" s="132"/>
      <c r="F33" s="133"/>
      <c r="G33" s="1"/>
    </row>
    <row r="34" spans="1:7" ht="15.4" customHeight="1" x14ac:dyDescent="0.25">
      <c r="A34" s="1"/>
      <c r="B34" s="96" t="s">
        <v>176</v>
      </c>
      <c r="C34" s="10"/>
      <c r="D34" s="11"/>
      <c r="E34" s="10">
        <f>'Fane 8. Skattesagen'!G11</f>
        <v>0</v>
      </c>
      <c r="F34" s="11" t="s">
        <v>3</v>
      </c>
      <c r="G34" s="1"/>
    </row>
    <row r="35" spans="1:7" x14ac:dyDescent="0.25">
      <c r="A35" s="1"/>
      <c r="B35" s="31" t="s">
        <v>218</v>
      </c>
      <c r="C35" s="26"/>
      <c r="D35" s="18"/>
      <c r="E35" s="12">
        <f>SUM(E32,E30,E28,E24,E22,E20,E34)</f>
        <v>83192396.676246867</v>
      </c>
      <c r="F35" s="13" t="s">
        <v>3</v>
      </c>
      <c r="G35" s="1"/>
    </row>
    <row r="36" spans="1:7" ht="27" customHeight="1" x14ac:dyDescent="0.25">
      <c r="A36" s="1"/>
      <c r="B36" s="121" t="s">
        <v>222</v>
      </c>
      <c r="C36" s="122"/>
      <c r="D36" s="122"/>
      <c r="E36" s="122"/>
      <c r="F36" s="123"/>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48"/>
      <c r="B49" s="48"/>
      <c r="C49" s="48"/>
      <c r="D49" s="48"/>
      <c r="E49" s="48"/>
      <c r="F49" s="48"/>
      <c r="G49" s="48"/>
    </row>
    <row r="50" spans="1:7" x14ac:dyDescent="0.25">
      <c r="A50" s="48"/>
      <c r="B50" s="48"/>
      <c r="C50" s="48"/>
      <c r="D50" s="48"/>
      <c r="E50" s="48"/>
      <c r="F50" s="48"/>
      <c r="G50" s="48"/>
    </row>
    <row r="51" spans="1:7" x14ac:dyDescent="0.25">
      <c r="A51" s="48"/>
      <c r="B51" s="48"/>
      <c r="C51" s="48"/>
      <c r="D51" s="48"/>
      <c r="E51" s="48"/>
      <c r="F51" s="48"/>
      <c r="G51" s="48"/>
    </row>
    <row r="52" spans="1:7" x14ac:dyDescent="0.25">
      <c r="A52" s="48"/>
      <c r="B52" s="48"/>
      <c r="C52" s="48"/>
      <c r="D52" s="48"/>
      <c r="E52" s="48"/>
      <c r="F52" s="48"/>
      <c r="G52" s="48"/>
    </row>
  </sheetData>
  <mergeCells count="21">
    <mergeCell ref="B26:D26"/>
    <mergeCell ref="B32:D32"/>
    <mergeCell ref="B22:D22"/>
    <mergeCell ref="B23:D23"/>
    <mergeCell ref="B36:F36"/>
    <mergeCell ref="B27:D27"/>
    <mergeCell ref="B28:D28"/>
    <mergeCell ref="B30:D30"/>
    <mergeCell ref="B33:F33"/>
    <mergeCell ref="B3:F4"/>
    <mergeCell ref="B9:D9"/>
    <mergeCell ref="B10:D10"/>
    <mergeCell ref="B11:D11"/>
    <mergeCell ref="B12:D12"/>
    <mergeCell ref="B18:D18"/>
    <mergeCell ref="B19:D19"/>
    <mergeCell ref="B13:D13"/>
    <mergeCell ref="B14:D14"/>
    <mergeCell ref="B15:D15"/>
    <mergeCell ref="B16:D16"/>
    <mergeCell ref="B17:D17"/>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8"/>
  <sheetViews>
    <sheetView showGridLines="0" view="pageLayout" zoomScale="90" zoomScaleNormal="100" zoomScalePageLayoutView="90" workbookViewId="0"/>
  </sheetViews>
  <sheetFormatPr defaultColWidth="9.140625" defaultRowHeight="15" x14ac:dyDescent="0.25"/>
  <cols>
    <col min="1" max="1" width="1.42578125" style="2" customWidth="1"/>
    <col min="2" max="5" width="9.140625" style="2"/>
    <col min="6" max="6" width="23.7109375" style="2" customWidth="1"/>
    <col min="7" max="7" width="16.28515625" style="2" customWidth="1"/>
    <col min="8" max="8" width="3.42578125" style="2" customWidth="1"/>
    <col min="9" max="9" width="1.85546875" style="2" customWidth="1"/>
    <col min="10" max="16384" width="9.140625" style="2"/>
  </cols>
  <sheetData>
    <row r="1" spans="1:9" ht="15" customHeight="1" x14ac:dyDescent="0.25">
      <c r="A1" s="1"/>
      <c r="B1" s="35"/>
      <c r="C1" s="35"/>
      <c r="D1" s="35"/>
      <c r="E1" s="35"/>
      <c r="F1" s="35"/>
      <c r="G1" s="35"/>
      <c r="H1" s="35"/>
      <c r="I1" s="1"/>
    </row>
    <row r="2" spans="1:9" ht="15" customHeight="1" x14ac:dyDescent="0.25">
      <c r="A2" s="1"/>
      <c r="B2" s="124" t="s">
        <v>109</v>
      </c>
      <c r="C2" s="124"/>
      <c r="D2" s="124"/>
      <c r="E2" s="124"/>
      <c r="F2" s="124"/>
      <c r="G2" s="124"/>
      <c r="H2" s="124"/>
      <c r="I2" s="1"/>
    </row>
    <row r="3" spans="1:9" ht="28.5" customHeight="1" x14ac:dyDescent="0.25">
      <c r="A3" s="1"/>
      <c r="B3" s="124"/>
      <c r="C3" s="124"/>
      <c r="D3" s="124"/>
      <c r="E3" s="124"/>
      <c r="F3" s="124"/>
      <c r="G3" s="124"/>
      <c r="H3" s="124"/>
      <c r="I3" s="1"/>
    </row>
    <row r="4" spans="1:9" x14ac:dyDescent="0.25">
      <c r="A4" s="1"/>
      <c r="B4" s="131" t="s">
        <v>52</v>
      </c>
      <c r="C4" s="132"/>
      <c r="D4" s="132"/>
      <c r="E4" s="132"/>
      <c r="F4" s="132"/>
      <c r="G4" s="132"/>
      <c r="H4" s="133"/>
      <c r="I4" s="1"/>
    </row>
    <row r="5" spans="1:9" x14ac:dyDescent="0.25">
      <c r="A5" s="1"/>
      <c r="B5" s="136" t="s">
        <v>41</v>
      </c>
      <c r="C5" s="137"/>
      <c r="D5" s="137"/>
      <c r="E5" s="137"/>
      <c r="F5" s="138"/>
      <c r="G5" s="72">
        <v>26058095.539709698</v>
      </c>
      <c r="H5" s="14" t="s">
        <v>3</v>
      </c>
      <c r="I5" s="1"/>
    </row>
    <row r="6" spans="1:9" x14ac:dyDescent="0.25">
      <c r="A6" s="1"/>
      <c r="B6" s="121" t="s">
        <v>120</v>
      </c>
      <c r="C6" s="122"/>
      <c r="D6" s="122"/>
      <c r="E6" s="122"/>
      <c r="F6" s="123"/>
      <c r="G6" s="73">
        <v>0</v>
      </c>
      <c r="H6" s="14" t="s">
        <v>3</v>
      </c>
      <c r="I6" s="1"/>
    </row>
    <row r="7" spans="1:9" x14ac:dyDescent="0.25">
      <c r="A7" s="1"/>
      <c r="B7" s="136" t="s">
        <v>42</v>
      </c>
      <c r="C7" s="137"/>
      <c r="D7" s="137"/>
      <c r="E7" s="137"/>
      <c r="F7" s="138"/>
      <c r="G7" s="72">
        <f>SUM(G5:G6)*'Fane 15. Nøgletal'!C31</f>
        <v>521161.91079419397</v>
      </c>
      <c r="H7" s="14" t="s">
        <v>3</v>
      </c>
      <c r="I7" s="1"/>
    </row>
    <row r="8" spans="1:9" x14ac:dyDescent="0.25">
      <c r="A8" s="1"/>
      <c r="B8" s="31"/>
      <c r="C8" s="26"/>
      <c r="D8" s="26"/>
      <c r="E8" s="26"/>
      <c r="F8" s="26"/>
      <c r="G8" s="74"/>
      <c r="H8" s="18"/>
      <c r="I8" s="1"/>
    </row>
    <row r="9" spans="1:9" x14ac:dyDescent="0.25">
      <c r="A9" s="1"/>
      <c r="B9" s="1"/>
      <c r="C9" s="1"/>
      <c r="D9" s="1"/>
      <c r="E9" s="1"/>
      <c r="F9" s="1"/>
      <c r="G9" s="75"/>
      <c r="H9" s="1"/>
      <c r="I9" s="1"/>
    </row>
    <row r="10" spans="1:9" x14ac:dyDescent="0.25">
      <c r="A10" s="1"/>
      <c r="B10" s="131" t="s">
        <v>53</v>
      </c>
      <c r="C10" s="132"/>
      <c r="D10" s="132"/>
      <c r="E10" s="132"/>
      <c r="F10" s="132"/>
      <c r="G10" s="139"/>
      <c r="H10" s="133"/>
      <c r="I10" s="1"/>
    </row>
    <row r="11" spans="1:9" x14ac:dyDescent="0.25">
      <c r="A11" s="1"/>
      <c r="B11" s="136" t="s">
        <v>43</v>
      </c>
      <c r="C11" s="137"/>
      <c r="D11" s="137"/>
      <c r="E11" s="137"/>
      <c r="F11" s="138"/>
      <c r="G11" s="72">
        <f>(G5-G7)*(1+'Fane 15. Nøgletal'!C10)</f>
        <v>25983829.967421528</v>
      </c>
      <c r="H11" s="14" t="s">
        <v>3</v>
      </c>
      <c r="I11" s="1"/>
    </row>
    <row r="12" spans="1:9" ht="15" customHeight="1" x14ac:dyDescent="0.25">
      <c r="A12" s="1"/>
      <c r="B12" s="136" t="s">
        <v>121</v>
      </c>
      <c r="C12" s="137"/>
      <c r="D12" s="137"/>
      <c r="E12" s="137"/>
      <c r="F12" s="138"/>
      <c r="G12" s="73">
        <v>0</v>
      </c>
      <c r="H12" s="14" t="s">
        <v>3</v>
      </c>
      <c r="I12" s="1"/>
    </row>
    <row r="13" spans="1:9" x14ac:dyDescent="0.25">
      <c r="A13" s="1"/>
      <c r="B13" s="121" t="s">
        <v>118</v>
      </c>
      <c r="C13" s="122"/>
      <c r="D13" s="122"/>
      <c r="E13" s="122"/>
      <c r="F13" s="123"/>
      <c r="G13" s="73">
        <v>0</v>
      </c>
      <c r="H13" s="14" t="s">
        <v>3</v>
      </c>
      <c r="I13" s="1"/>
    </row>
    <row r="14" spans="1:9" x14ac:dyDescent="0.25">
      <c r="A14" s="1"/>
      <c r="B14" s="143" t="s">
        <v>44</v>
      </c>
      <c r="C14" s="144"/>
      <c r="D14" s="144"/>
      <c r="E14" s="144"/>
      <c r="F14" s="145"/>
      <c r="G14" s="73">
        <v>0</v>
      </c>
      <c r="H14" s="14" t="s">
        <v>3</v>
      </c>
      <c r="I14" s="1"/>
    </row>
    <row r="15" spans="1:9" x14ac:dyDescent="0.25">
      <c r="A15" s="1"/>
      <c r="B15" s="136" t="s">
        <v>45</v>
      </c>
      <c r="C15" s="137"/>
      <c r="D15" s="137"/>
      <c r="E15" s="137"/>
      <c r="F15" s="138"/>
      <c r="G15" s="72">
        <f>SUM(G11:G14)*'Fane 15. Nøgletal'!C31</f>
        <v>519676.59934843058</v>
      </c>
      <c r="H15" s="14" t="s">
        <v>3</v>
      </c>
      <c r="I15" s="1"/>
    </row>
    <row r="16" spans="1:9" x14ac:dyDescent="0.25">
      <c r="A16" s="1"/>
      <c r="B16" s="31"/>
      <c r="C16" s="26"/>
      <c r="D16" s="26"/>
      <c r="E16" s="26"/>
      <c r="F16" s="26"/>
      <c r="G16" s="74"/>
      <c r="H16" s="18"/>
      <c r="I16" s="1"/>
    </row>
    <row r="17" spans="1:9" x14ac:dyDescent="0.25">
      <c r="A17" s="1"/>
      <c r="B17" s="1"/>
      <c r="C17" s="1"/>
      <c r="D17" s="1"/>
      <c r="E17" s="1"/>
      <c r="F17" s="1"/>
      <c r="G17" s="75"/>
      <c r="H17" s="1"/>
      <c r="I17" s="1"/>
    </row>
    <row r="18" spans="1:9" x14ac:dyDescent="0.25">
      <c r="A18" s="1"/>
      <c r="B18" s="131" t="s">
        <v>54</v>
      </c>
      <c r="C18" s="132"/>
      <c r="D18" s="132"/>
      <c r="E18" s="132"/>
      <c r="F18" s="132"/>
      <c r="G18" s="139"/>
      <c r="H18" s="133"/>
      <c r="I18" s="1"/>
    </row>
    <row r="19" spans="1:9" x14ac:dyDescent="0.25">
      <c r="A19" s="1"/>
      <c r="B19" s="136" t="s">
        <v>46</v>
      </c>
      <c r="C19" s="137"/>
      <c r="D19" s="137"/>
      <c r="E19" s="137"/>
      <c r="F19" s="138"/>
      <c r="G19" s="72">
        <f>(SUM(G11:G12,G14)-(G15))*(1+'Fane 15. Nøgletal'!C10)</f>
        <v>25909776.052014381</v>
      </c>
      <c r="H19" s="14" t="s">
        <v>3</v>
      </c>
      <c r="I19" s="1"/>
    </row>
    <row r="20" spans="1:9" x14ac:dyDescent="0.25">
      <c r="A20" s="1"/>
      <c r="B20" s="143" t="s">
        <v>47</v>
      </c>
      <c r="C20" s="144"/>
      <c r="D20" s="144"/>
      <c r="E20" s="144"/>
      <c r="F20" s="145"/>
      <c r="G20" s="73">
        <v>0</v>
      </c>
      <c r="H20" s="14" t="s">
        <v>3</v>
      </c>
      <c r="I20" s="1"/>
    </row>
    <row r="21" spans="1:9" x14ac:dyDescent="0.25">
      <c r="A21" s="1"/>
      <c r="B21" s="136" t="s">
        <v>48</v>
      </c>
      <c r="C21" s="137"/>
      <c r="D21" s="137"/>
      <c r="E21" s="137"/>
      <c r="F21" s="138"/>
      <c r="G21" s="72">
        <f>SUM(G19:G20)*'Fane 15. Nøgletal'!C31</f>
        <v>518195.52104028763</v>
      </c>
      <c r="H21" s="14" t="s">
        <v>3</v>
      </c>
      <c r="I21" s="1"/>
    </row>
    <row r="22" spans="1:9" x14ac:dyDescent="0.25">
      <c r="A22" s="1"/>
      <c r="B22" s="31"/>
      <c r="C22" s="26"/>
      <c r="D22" s="26"/>
      <c r="E22" s="26"/>
      <c r="F22" s="26"/>
      <c r="G22" s="74"/>
      <c r="H22" s="18"/>
      <c r="I22" s="1"/>
    </row>
    <row r="23" spans="1:9" x14ac:dyDescent="0.25">
      <c r="A23" s="1"/>
      <c r="B23" s="1"/>
      <c r="C23" s="1"/>
      <c r="D23" s="1"/>
      <c r="E23" s="1"/>
      <c r="F23" s="1"/>
      <c r="G23" s="75"/>
      <c r="H23" s="1"/>
      <c r="I23" s="1"/>
    </row>
    <row r="24" spans="1:9" x14ac:dyDescent="0.25">
      <c r="A24" s="1"/>
      <c r="B24" s="131" t="s">
        <v>55</v>
      </c>
      <c r="C24" s="132"/>
      <c r="D24" s="132"/>
      <c r="E24" s="132"/>
      <c r="F24" s="132"/>
      <c r="G24" s="139"/>
      <c r="H24" s="133"/>
      <c r="I24" s="1"/>
    </row>
    <row r="25" spans="1:9" x14ac:dyDescent="0.25">
      <c r="A25" s="1"/>
      <c r="B25" s="136" t="s">
        <v>49</v>
      </c>
      <c r="C25" s="137"/>
      <c r="D25" s="137"/>
      <c r="E25" s="137"/>
      <c r="F25" s="138"/>
      <c r="G25" s="72">
        <f>(G19+G20-G21)*(1+'Fane 15. Nøgletal'!C12)</f>
        <v>25891794.667434286</v>
      </c>
      <c r="H25" s="14" t="s">
        <v>3</v>
      </c>
      <c r="I25" s="1"/>
    </row>
    <row r="26" spans="1:9" x14ac:dyDescent="0.25">
      <c r="A26" s="1"/>
      <c r="B26" s="143" t="s">
        <v>50</v>
      </c>
      <c r="C26" s="144"/>
      <c r="D26" s="144"/>
      <c r="E26" s="144"/>
      <c r="F26" s="145"/>
      <c r="G26" s="73">
        <v>0</v>
      </c>
      <c r="H26" s="14" t="s">
        <v>3</v>
      </c>
      <c r="I26" s="1"/>
    </row>
    <row r="27" spans="1:9" x14ac:dyDescent="0.25">
      <c r="A27" s="1"/>
      <c r="B27" s="136" t="s">
        <v>51</v>
      </c>
      <c r="C27" s="137"/>
      <c r="D27" s="137"/>
      <c r="E27" s="137"/>
      <c r="F27" s="138"/>
      <c r="G27" s="72">
        <f>(G25+G26)*'Fane 15. Nøgletal'!C31</f>
        <v>517835.89334868576</v>
      </c>
      <c r="H27" s="14" t="s">
        <v>3</v>
      </c>
      <c r="I27" s="1"/>
    </row>
    <row r="28" spans="1:9" x14ac:dyDescent="0.25">
      <c r="A28" s="1"/>
      <c r="B28" s="31"/>
      <c r="C28" s="26"/>
      <c r="D28" s="26"/>
      <c r="E28" s="26"/>
      <c r="F28" s="26"/>
      <c r="G28" s="74"/>
      <c r="H28" s="18"/>
      <c r="I28" s="1"/>
    </row>
    <row r="29" spans="1:9" x14ac:dyDescent="0.25">
      <c r="A29" s="1"/>
      <c r="B29" s="1"/>
      <c r="C29" s="1"/>
      <c r="D29" s="1"/>
      <c r="E29" s="1"/>
      <c r="F29" s="1"/>
      <c r="G29" s="75"/>
      <c r="H29" s="1"/>
      <c r="I29" s="1"/>
    </row>
    <row r="30" spans="1:9" x14ac:dyDescent="0.25">
      <c r="A30" s="1"/>
      <c r="B30" s="131" t="s">
        <v>58</v>
      </c>
      <c r="C30" s="132"/>
      <c r="D30" s="132"/>
      <c r="E30" s="132"/>
      <c r="F30" s="132"/>
      <c r="G30" s="139"/>
      <c r="H30" s="133"/>
      <c r="I30" s="1"/>
    </row>
    <row r="31" spans="1:9" x14ac:dyDescent="0.25">
      <c r="A31" s="1"/>
      <c r="B31" s="136" t="s">
        <v>59</v>
      </c>
      <c r="C31" s="137"/>
      <c r="D31" s="137"/>
      <c r="E31" s="137"/>
      <c r="F31" s="138"/>
      <c r="G31" s="72">
        <f>(G25+G26-G27)*(1+'Fane 15. Nøgletal'!C12)</f>
        <v>25873825.761935089</v>
      </c>
      <c r="H31" s="14" t="s">
        <v>3</v>
      </c>
      <c r="I31" s="1"/>
    </row>
    <row r="32" spans="1:9" x14ac:dyDescent="0.25">
      <c r="A32" s="1"/>
      <c r="B32" s="136" t="s">
        <v>137</v>
      </c>
      <c r="C32" s="137"/>
      <c r="D32" s="137"/>
      <c r="E32" s="137"/>
      <c r="F32" s="138"/>
      <c r="G32" s="72">
        <v>0</v>
      </c>
      <c r="H32" s="14" t="s">
        <v>3</v>
      </c>
      <c r="I32" s="1"/>
    </row>
    <row r="33" spans="1:9" x14ac:dyDescent="0.25">
      <c r="A33" s="1"/>
      <c r="B33" s="136" t="s">
        <v>60</v>
      </c>
      <c r="C33" s="137"/>
      <c r="D33" s="137"/>
      <c r="E33" s="137"/>
      <c r="F33" s="138"/>
      <c r="G33" s="72">
        <f>(G31+G32)*'Fane 15. Nøgletal'!C31</f>
        <v>517476.51523870177</v>
      </c>
      <c r="H33" s="14" t="s">
        <v>3</v>
      </c>
      <c r="I33" s="1"/>
    </row>
    <row r="34" spans="1:9" x14ac:dyDescent="0.25">
      <c r="A34" s="1"/>
      <c r="B34" s="31"/>
      <c r="C34" s="26"/>
      <c r="D34" s="26"/>
      <c r="E34" s="26"/>
      <c r="F34" s="26"/>
      <c r="G34" s="74"/>
      <c r="H34" s="18"/>
      <c r="I34" s="1"/>
    </row>
    <row r="35" spans="1:9" x14ac:dyDescent="0.25">
      <c r="A35" s="1"/>
      <c r="B35" s="1"/>
      <c r="C35" s="1"/>
      <c r="D35" s="1"/>
      <c r="E35" s="1"/>
      <c r="F35" s="1"/>
      <c r="G35" s="75"/>
      <c r="H35" s="1"/>
      <c r="I35" s="1"/>
    </row>
    <row r="36" spans="1:9" x14ac:dyDescent="0.25">
      <c r="A36" s="1"/>
      <c r="B36" s="131" t="s">
        <v>160</v>
      </c>
      <c r="C36" s="132"/>
      <c r="D36" s="132"/>
      <c r="E36" s="132"/>
      <c r="F36" s="132"/>
      <c r="G36" s="139"/>
      <c r="H36" s="133"/>
      <c r="I36" s="1"/>
    </row>
    <row r="37" spans="1:9" x14ac:dyDescent="0.25">
      <c r="A37" s="1"/>
      <c r="B37" s="136" t="s">
        <v>79</v>
      </c>
      <c r="C37" s="137"/>
      <c r="D37" s="137"/>
      <c r="E37" s="137"/>
      <c r="F37" s="138"/>
      <c r="G37" s="72">
        <f>(G31+G32-G33)*(1+'Fane 15. Nøgletal'!C14)</f>
        <v>25440025.199210487</v>
      </c>
      <c r="H37" s="14" t="s">
        <v>3</v>
      </c>
      <c r="I37" s="1"/>
    </row>
    <row r="38" spans="1:9" x14ac:dyDescent="0.25">
      <c r="A38" s="1"/>
      <c r="B38" s="136" t="s">
        <v>164</v>
      </c>
      <c r="C38" s="137"/>
      <c r="D38" s="137"/>
      <c r="E38" s="137"/>
      <c r="F38" s="138"/>
      <c r="G38" s="72">
        <v>0</v>
      </c>
      <c r="H38" s="14" t="s">
        <v>3</v>
      </c>
      <c r="I38" s="1"/>
    </row>
    <row r="39" spans="1:9" x14ac:dyDescent="0.25">
      <c r="A39" s="1"/>
      <c r="B39" s="136" t="s">
        <v>162</v>
      </c>
      <c r="C39" s="137"/>
      <c r="D39" s="137"/>
      <c r="E39" s="137"/>
      <c r="F39" s="138"/>
      <c r="G39" s="72">
        <f>(G37+G38)*'Fane 15. Nøgletal'!C31</f>
        <v>508800.50398420973</v>
      </c>
      <c r="H39" s="14" t="s">
        <v>3</v>
      </c>
      <c r="I39" s="1"/>
    </row>
    <row r="40" spans="1:9" x14ac:dyDescent="0.25">
      <c r="A40" s="1"/>
      <c r="B40" s="31"/>
      <c r="C40" s="26"/>
      <c r="D40" s="26"/>
      <c r="E40" s="26"/>
      <c r="F40" s="26"/>
      <c r="G40" s="74"/>
      <c r="H40" s="18"/>
      <c r="I40" s="1"/>
    </row>
    <row r="41" spans="1:9" x14ac:dyDescent="0.25">
      <c r="A41" s="1"/>
      <c r="B41" s="1"/>
      <c r="C41" s="1"/>
      <c r="D41" s="1"/>
      <c r="E41" s="1"/>
      <c r="F41" s="1"/>
      <c r="G41" s="75"/>
      <c r="H41" s="1"/>
      <c r="I41" s="1"/>
    </row>
    <row r="42" spans="1:9" x14ac:dyDescent="0.25">
      <c r="A42" s="1"/>
      <c r="B42" s="131" t="s">
        <v>161</v>
      </c>
      <c r="C42" s="132"/>
      <c r="D42" s="132"/>
      <c r="E42" s="132"/>
      <c r="F42" s="132"/>
      <c r="G42" s="139"/>
      <c r="H42" s="133"/>
      <c r="I42" s="1"/>
    </row>
    <row r="43" spans="1:9" x14ac:dyDescent="0.25">
      <c r="A43" s="1"/>
      <c r="B43" s="136" t="s">
        <v>228</v>
      </c>
      <c r="C43" s="137"/>
      <c r="D43" s="137"/>
      <c r="E43" s="137"/>
      <c r="F43" s="138"/>
      <c r="G43" s="72">
        <f>(G37+G38-G39)*(1+'Fane 15. Nøgletal'!C14)</f>
        <v>25013497.736720528</v>
      </c>
      <c r="H43" s="14" t="s">
        <v>3</v>
      </c>
      <c r="I43" s="1"/>
    </row>
    <row r="44" spans="1:9" x14ac:dyDescent="0.25">
      <c r="A44" s="1"/>
      <c r="B44" s="140" t="s">
        <v>230</v>
      </c>
      <c r="C44" s="141"/>
      <c r="D44" s="141"/>
      <c r="E44" s="141"/>
      <c r="F44" s="142"/>
      <c r="G44" s="76">
        <f>('Fane 2.1. Økonomisk ramme 2023'!C10+'Fane 2.1. Økonomisk ramme 2023'!C12+'Fane 2.1. Økonomisk ramme 2023'!C14)*(1+'Fane 15. Nøgletal'!C15)</f>
        <v>2760334.7231131205</v>
      </c>
      <c r="H44" s="14" t="s">
        <v>3</v>
      </c>
      <c r="I44" s="1"/>
    </row>
    <row r="45" spans="1:9" x14ac:dyDescent="0.25">
      <c r="A45" s="1"/>
      <c r="B45" s="136" t="s">
        <v>163</v>
      </c>
      <c r="C45" s="137"/>
      <c r="D45" s="137"/>
      <c r="E45" s="137"/>
      <c r="F45" s="138"/>
      <c r="G45" s="72">
        <f>SUM(G43:G44)*'Fane 15. Nøgletal'!C31</f>
        <v>555476.64919667295</v>
      </c>
      <c r="H45" s="14" t="s">
        <v>3</v>
      </c>
      <c r="I45" s="1"/>
    </row>
    <row r="46" spans="1:9" x14ac:dyDescent="0.25">
      <c r="A46" s="1"/>
      <c r="B46" s="31"/>
      <c r="C46" s="26"/>
      <c r="D46" s="26"/>
      <c r="E46" s="26"/>
      <c r="F46" s="26"/>
      <c r="G46" s="74"/>
      <c r="H46" s="18"/>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31" t="s">
        <v>241</v>
      </c>
      <c r="C51" s="132"/>
      <c r="D51" s="132"/>
      <c r="E51" s="132"/>
      <c r="F51" s="132"/>
      <c r="G51" s="139"/>
      <c r="H51" s="133"/>
      <c r="I51" s="1"/>
    </row>
    <row r="52" spans="1:9" x14ac:dyDescent="0.25">
      <c r="A52" s="1"/>
      <c r="B52" s="136" t="s">
        <v>227</v>
      </c>
      <c r="C52" s="137"/>
      <c r="D52" s="137"/>
      <c r="E52" s="137"/>
      <c r="F52" s="138"/>
      <c r="G52" s="72">
        <f>(G43+G44-G45)*(1+'Fane 15. Nøgletal'!C15)</f>
        <v>28187329.277495652</v>
      </c>
      <c r="H52" s="14" t="s">
        <v>3</v>
      </c>
      <c r="I52" s="1"/>
    </row>
    <row r="53" spans="1:9" x14ac:dyDescent="0.25">
      <c r="A53" s="1"/>
      <c r="B53" s="136" t="s">
        <v>138</v>
      </c>
      <c r="C53" s="137"/>
      <c r="D53" s="137"/>
      <c r="E53" s="137"/>
      <c r="F53" s="138"/>
      <c r="G53" s="72">
        <f>(G52)*'Fane 15. Nøgletal'!C31</f>
        <v>563746.58554991311</v>
      </c>
      <c r="H53" s="14" t="s">
        <v>3</v>
      </c>
      <c r="I53" s="1"/>
    </row>
    <row r="54" spans="1:9" x14ac:dyDescent="0.25">
      <c r="A54" s="1"/>
      <c r="B54" s="31"/>
      <c r="C54" s="26"/>
      <c r="D54" s="26"/>
      <c r="E54" s="26"/>
      <c r="F54" s="26"/>
      <c r="G54" s="74"/>
      <c r="H54" s="18"/>
      <c r="I54" s="1"/>
    </row>
    <row r="55" spans="1:9" x14ac:dyDescent="0.25">
      <c r="A55" s="1"/>
      <c r="B55" s="1"/>
      <c r="C55" s="1"/>
      <c r="D55" s="1"/>
      <c r="E55" s="1"/>
      <c r="F55" s="1"/>
      <c r="G55" s="75"/>
      <c r="H55" s="1"/>
      <c r="I55" s="1"/>
    </row>
    <row r="56" spans="1:9" x14ac:dyDescent="0.25">
      <c r="A56" s="1"/>
      <c r="B56" s="131" t="s">
        <v>150</v>
      </c>
      <c r="C56" s="132"/>
      <c r="D56" s="132"/>
      <c r="E56" s="132"/>
      <c r="F56" s="132"/>
      <c r="G56" s="139"/>
      <c r="H56" s="133"/>
      <c r="I56" s="1"/>
    </row>
    <row r="57" spans="1:9" x14ac:dyDescent="0.25">
      <c r="A57" s="1"/>
      <c r="B57" s="87" t="s">
        <v>151</v>
      </c>
      <c r="C57" s="88"/>
      <c r="D57" s="88"/>
      <c r="E57" s="88"/>
      <c r="F57" s="89"/>
      <c r="G57" s="72">
        <f>(G52-G53)*(1+'Fane 15. Nøgletal'!C15)</f>
        <v>28606982.23577901</v>
      </c>
      <c r="H57" s="14" t="s">
        <v>3</v>
      </c>
      <c r="I57" s="1"/>
    </row>
    <row r="58" spans="1:9" x14ac:dyDescent="0.25">
      <c r="A58" s="1"/>
      <c r="B58" s="87" t="s">
        <v>152</v>
      </c>
      <c r="C58" s="88"/>
      <c r="D58" s="88"/>
      <c r="E58" s="88"/>
      <c r="F58" s="89"/>
      <c r="G58" s="72">
        <f>(G57)*'Fane 15. Nøgletal'!C31</f>
        <v>572139.64471558016</v>
      </c>
      <c r="H58" s="14" t="s">
        <v>3</v>
      </c>
      <c r="I58" s="1"/>
    </row>
    <row r="59" spans="1:9" x14ac:dyDescent="0.25">
      <c r="A59" s="1"/>
      <c r="B59" s="31"/>
      <c r="C59" s="26"/>
      <c r="D59" s="26"/>
      <c r="E59" s="26"/>
      <c r="F59" s="26"/>
      <c r="G59" s="74"/>
      <c r="H59" s="18"/>
      <c r="I59" s="1"/>
    </row>
    <row r="60" spans="1:9" x14ac:dyDescent="0.25">
      <c r="A60" s="1"/>
      <c r="B60" s="1"/>
      <c r="C60" s="1"/>
      <c r="D60" s="1"/>
      <c r="E60" s="1"/>
      <c r="F60" s="1"/>
      <c r="G60" s="75"/>
      <c r="H60" s="1"/>
      <c r="I60" s="1"/>
    </row>
    <row r="61" spans="1:9" x14ac:dyDescent="0.25">
      <c r="A61" s="1"/>
      <c r="B61" s="131" t="s">
        <v>193</v>
      </c>
      <c r="C61" s="132"/>
      <c r="D61" s="132"/>
      <c r="E61" s="132"/>
      <c r="F61" s="132"/>
      <c r="G61" s="139"/>
      <c r="H61" s="133"/>
      <c r="I61" s="1"/>
    </row>
    <row r="62" spans="1:9" x14ac:dyDescent="0.25">
      <c r="A62" s="1"/>
      <c r="B62" s="87" t="s">
        <v>194</v>
      </c>
      <c r="C62" s="88"/>
      <c r="D62" s="88"/>
      <c r="E62" s="88"/>
      <c r="F62" s="89"/>
      <c r="G62" s="72">
        <f>(G57-G58)*(1+'Fane 15. Nøgletal'!C15)</f>
        <v>29032882.987305287</v>
      </c>
      <c r="H62" s="14" t="s">
        <v>3</v>
      </c>
      <c r="I62" s="1"/>
    </row>
    <row r="63" spans="1:9" x14ac:dyDescent="0.25">
      <c r="A63" s="1"/>
      <c r="B63" s="87" t="s">
        <v>195</v>
      </c>
      <c r="C63" s="88"/>
      <c r="D63" s="88"/>
      <c r="E63" s="88"/>
      <c r="F63" s="89"/>
      <c r="G63" s="72">
        <f>(G62)*'Fane 15. Nøgletal'!C31</f>
        <v>580657.65974610578</v>
      </c>
      <c r="H63" s="14" t="s">
        <v>3</v>
      </c>
      <c r="I63" s="1"/>
    </row>
    <row r="64" spans="1:9" x14ac:dyDescent="0.25">
      <c r="A64" s="1"/>
      <c r="B64" s="31"/>
      <c r="C64" s="26"/>
      <c r="D64" s="26"/>
      <c r="E64" s="26"/>
      <c r="F64" s="26"/>
      <c r="G64" s="26"/>
      <c r="H64" s="18"/>
      <c r="I64" s="1"/>
    </row>
    <row r="65" spans="1:9" x14ac:dyDescent="0.25">
      <c r="A65" s="1"/>
      <c r="B65" s="1"/>
      <c r="C65" s="1"/>
      <c r="D65" s="1"/>
      <c r="E65" s="1"/>
      <c r="F65" s="1"/>
      <c r="G65" s="1"/>
      <c r="H65" s="1"/>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49"/>
    </row>
  </sheetData>
  <sheetProtection algorithmName="SHA-512" hashValue="mOG1Wp3hM1XhPyMy+vJWVuz0na1ORYAfLKvjDe9I96cqCupVBFV/UkN52KK2w2TWvwmdgFRJpc+NC8NxCqDmsg==" saltValue="Azy+9wkOPSY/TiLN5FSJjg==" spinCount="100000" sheet="1" objects="1" scenarios="1"/>
  <mergeCells count="36">
    <mergeCell ref="B6:F6"/>
    <mergeCell ref="B2:H3"/>
    <mergeCell ref="B24:H24"/>
    <mergeCell ref="B4:H4"/>
    <mergeCell ref="B5:F5"/>
    <mergeCell ref="B7:F7"/>
    <mergeCell ref="B12:F12"/>
    <mergeCell ref="B13:F13"/>
    <mergeCell ref="B18:H18"/>
    <mergeCell ref="B14:F14"/>
    <mergeCell ref="B26:F26"/>
    <mergeCell ref="B27:F27"/>
    <mergeCell ref="B61:H61"/>
    <mergeCell ref="B11:F11"/>
    <mergeCell ref="B10:H10"/>
    <mergeCell ref="B30:H30"/>
    <mergeCell ref="B31:F31"/>
    <mergeCell ref="B36:H36"/>
    <mergeCell ref="B15:F15"/>
    <mergeCell ref="B19:F19"/>
    <mergeCell ref="B20:F20"/>
    <mergeCell ref="B21:F21"/>
    <mergeCell ref="B25:F25"/>
    <mergeCell ref="B56:H56"/>
    <mergeCell ref="B51:H51"/>
    <mergeCell ref="B52:F52"/>
    <mergeCell ref="B53:F53"/>
    <mergeCell ref="B37:F37"/>
    <mergeCell ref="B32:F32"/>
    <mergeCell ref="B33:F33"/>
    <mergeCell ref="B42:H42"/>
    <mergeCell ref="B43:F43"/>
    <mergeCell ref="B45:F45"/>
    <mergeCell ref="B38:F38"/>
    <mergeCell ref="B39:F39"/>
    <mergeCell ref="B44:F44"/>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70"/>
  <sheetViews>
    <sheetView showGridLines="0" view="pageLayout" zoomScale="87" zoomScaleNormal="100" zoomScalePageLayoutView="87" workbookViewId="0"/>
  </sheetViews>
  <sheetFormatPr defaultColWidth="9.140625" defaultRowHeight="15" x14ac:dyDescent="0.25"/>
  <cols>
    <col min="1" max="1" width="1.7109375" style="2" customWidth="1"/>
    <col min="2" max="5" width="9.140625" style="2"/>
    <col min="6" max="6" width="28.42578125" style="2" customWidth="1"/>
    <col min="7" max="7" width="14.140625" style="2" customWidth="1"/>
    <col min="8" max="8" width="3.28515625" style="2" customWidth="1"/>
    <col min="9" max="9" width="1.85546875" style="2" customWidth="1"/>
    <col min="10" max="16384" width="9.140625" style="2"/>
  </cols>
  <sheetData>
    <row r="1" spans="1:9" ht="14.25" customHeight="1" x14ac:dyDescent="0.25">
      <c r="A1" s="1"/>
      <c r="B1" s="146" t="s">
        <v>110</v>
      </c>
      <c r="C1" s="146"/>
      <c r="D1" s="146"/>
      <c r="E1" s="146"/>
      <c r="F1" s="146"/>
      <c r="G1" s="146"/>
      <c r="H1" s="146"/>
      <c r="I1" s="1"/>
    </row>
    <row r="2" spans="1:9" ht="15" customHeight="1" x14ac:dyDescent="0.25">
      <c r="A2" s="1"/>
      <c r="B2" s="146"/>
      <c r="C2" s="146"/>
      <c r="D2" s="146"/>
      <c r="E2" s="146"/>
      <c r="F2" s="146"/>
      <c r="G2" s="146"/>
      <c r="H2" s="146"/>
      <c r="I2" s="1"/>
    </row>
    <row r="3" spans="1:9" ht="15" customHeight="1" x14ac:dyDescent="0.25">
      <c r="A3" s="1"/>
      <c r="B3" s="147"/>
      <c r="C3" s="147"/>
      <c r="D3" s="147"/>
      <c r="E3" s="147"/>
      <c r="F3" s="147"/>
      <c r="G3" s="147"/>
      <c r="H3" s="147"/>
      <c r="I3" s="1"/>
    </row>
    <row r="4" spans="1:9" x14ac:dyDescent="0.25">
      <c r="A4" s="1"/>
      <c r="B4" s="131" t="s">
        <v>56</v>
      </c>
      <c r="C4" s="132"/>
      <c r="D4" s="132"/>
      <c r="E4" s="132"/>
      <c r="F4" s="132"/>
      <c r="G4" s="132"/>
      <c r="H4" s="133"/>
      <c r="I4" s="1"/>
    </row>
    <row r="5" spans="1:9" x14ac:dyDescent="0.25">
      <c r="A5" s="1"/>
      <c r="B5" s="136" t="s">
        <v>61</v>
      </c>
      <c r="C5" s="137"/>
      <c r="D5" s="137"/>
      <c r="E5" s="137"/>
      <c r="F5" s="138"/>
      <c r="G5" s="72">
        <v>57604782.555860884</v>
      </c>
      <c r="H5" s="14" t="s">
        <v>3</v>
      </c>
      <c r="I5" s="1"/>
    </row>
    <row r="6" spans="1:9" x14ac:dyDescent="0.25">
      <c r="A6" s="1"/>
      <c r="B6" s="136" t="s">
        <v>57</v>
      </c>
      <c r="C6" s="137"/>
      <c r="D6" s="137"/>
      <c r="E6" s="137"/>
      <c r="F6" s="138"/>
      <c r="G6" s="72">
        <f>G5*'Fane 15. Nøgletal'!C20</f>
        <v>524203.52125833405</v>
      </c>
      <c r="H6" s="14" t="s">
        <v>3</v>
      </c>
      <c r="I6" s="1"/>
    </row>
    <row r="7" spans="1:9" x14ac:dyDescent="0.25">
      <c r="A7" s="1"/>
      <c r="B7" s="31"/>
      <c r="C7" s="26"/>
      <c r="D7" s="26"/>
      <c r="E7" s="26"/>
      <c r="F7" s="26"/>
      <c r="G7" s="74"/>
      <c r="H7" s="18"/>
      <c r="I7" s="1"/>
    </row>
    <row r="8" spans="1:9" x14ac:dyDescent="0.25">
      <c r="A8" s="1"/>
      <c r="B8" s="1"/>
      <c r="C8" s="1"/>
      <c r="D8" s="1"/>
      <c r="E8" s="1"/>
      <c r="F8" s="1"/>
      <c r="G8" s="75"/>
      <c r="H8" s="1"/>
      <c r="I8" s="1"/>
    </row>
    <row r="9" spans="1:9" x14ac:dyDescent="0.25">
      <c r="A9" s="1"/>
      <c r="B9" s="131" t="s">
        <v>62</v>
      </c>
      <c r="C9" s="132"/>
      <c r="D9" s="132"/>
      <c r="E9" s="132"/>
      <c r="F9" s="132"/>
      <c r="G9" s="139"/>
      <c r="H9" s="133"/>
      <c r="I9" s="1"/>
    </row>
    <row r="10" spans="1:9" x14ac:dyDescent="0.25">
      <c r="A10" s="1"/>
      <c r="B10" s="136" t="s">
        <v>63</v>
      </c>
      <c r="C10" s="137"/>
      <c r="D10" s="137"/>
      <c r="E10" s="137"/>
      <c r="F10" s="138"/>
      <c r="G10" s="72">
        <f>(G5-G6)*(1+'Fane 15. Nøgletal'!C10)</f>
        <v>58079489.167708099</v>
      </c>
      <c r="H10" s="14" t="s">
        <v>3</v>
      </c>
      <c r="I10" s="1"/>
    </row>
    <row r="11" spans="1:9" x14ac:dyDescent="0.25">
      <c r="A11" s="1"/>
      <c r="B11" s="136" t="s">
        <v>122</v>
      </c>
      <c r="C11" s="137"/>
      <c r="D11" s="137"/>
      <c r="E11" s="137"/>
      <c r="F11" s="138"/>
      <c r="G11" s="72">
        <v>103076.26602944829</v>
      </c>
      <c r="H11" s="14" t="s">
        <v>3</v>
      </c>
      <c r="I11" s="1"/>
    </row>
    <row r="12" spans="1:9" x14ac:dyDescent="0.25">
      <c r="A12" s="1"/>
      <c r="B12" s="143" t="s">
        <v>64</v>
      </c>
      <c r="C12" s="144"/>
      <c r="D12" s="144"/>
      <c r="E12" s="144"/>
      <c r="F12" s="145"/>
      <c r="G12" s="73">
        <v>0</v>
      </c>
      <c r="H12" s="14" t="s">
        <v>3</v>
      </c>
      <c r="I12" s="1"/>
    </row>
    <row r="13" spans="1:9" x14ac:dyDescent="0.25">
      <c r="A13" s="1"/>
      <c r="B13" s="136" t="s">
        <v>65</v>
      </c>
      <c r="C13" s="137"/>
      <c r="D13" s="137"/>
      <c r="E13" s="137"/>
      <c r="F13" s="138"/>
      <c r="G13" s="72">
        <f>SUM(G10:G12)*'Fane 15. Nøgletal'!C21</f>
        <v>1029831.4081771546</v>
      </c>
      <c r="H13" s="14" t="s">
        <v>3</v>
      </c>
      <c r="I13" s="1"/>
    </row>
    <row r="14" spans="1:9" x14ac:dyDescent="0.25">
      <c r="A14" s="1"/>
      <c r="B14" s="31"/>
      <c r="C14" s="26"/>
      <c r="D14" s="26"/>
      <c r="E14" s="26"/>
      <c r="F14" s="26"/>
      <c r="G14" s="74"/>
      <c r="H14" s="18"/>
      <c r="I14" s="1"/>
    </row>
    <row r="15" spans="1:9" x14ac:dyDescent="0.25">
      <c r="A15" s="1"/>
      <c r="B15" s="1"/>
      <c r="C15" s="1"/>
      <c r="D15" s="1"/>
      <c r="E15" s="1"/>
      <c r="F15" s="1"/>
      <c r="G15" s="75"/>
      <c r="H15" s="1"/>
      <c r="I15" s="1"/>
    </row>
    <row r="16" spans="1:9" x14ac:dyDescent="0.25">
      <c r="A16" s="1"/>
      <c r="B16" s="131" t="s">
        <v>66</v>
      </c>
      <c r="C16" s="132"/>
      <c r="D16" s="132"/>
      <c r="E16" s="132"/>
      <c r="F16" s="132"/>
      <c r="G16" s="139"/>
      <c r="H16" s="133"/>
      <c r="I16" s="1"/>
    </row>
    <row r="17" spans="1:9" x14ac:dyDescent="0.25">
      <c r="A17" s="1"/>
      <c r="B17" s="136" t="s">
        <v>67</v>
      </c>
      <c r="C17" s="137"/>
      <c r="D17" s="137"/>
      <c r="E17" s="137"/>
      <c r="F17" s="138"/>
      <c r="G17" s="72">
        <f>(SUM(G10:G12)-G13)*(1+'Fane 15. Nøgletal'!C10)</f>
        <v>58152906.871007703</v>
      </c>
      <c r="H17" s="14" t="s">
        <v>3</v>
      </c>
      <c r="I17" s="1"/>
    </row>
    <row r="18" spans="1:9" x14ac:dyDescent="0.25">
      <c r="A18" s="1"/>
      <c r="B18" s="143" t="s">
        <v>68</v>
      </c>
      <c r="C18" s="144"/>
      <c r="D18" s="144"/>
      <c r="E18" s="144"/>
      <c r="F18" s="145"/>
      <c r="G18" s="72">
        <v>0</v>
      </c>
      <c r="H18" s="14" t="s">
        <v>3</v>
      </c>
      <c r="I18" s="1"/>
    </row>
    <row r="19" spans="1:9" x14ac:dyDescent="0.25">
      <c r="A19" s="1"/>
      <c r="B19" s="136" t="s">
        <v>69</v>
      </c>
      <c r="C19" s="137"/>
      <c r="D19" s="137"/>
      <c r="E19" s="137"/>
      <c r="F19" s="138"/>
      <c r="G19" s="72">
        <f>G17*'Fane 15. Nøgletal'!C21+G18*'Fane 15. Nøgletal'!C22</f>
        <v>1029306.4516168364</v>
      </c>
      <c r="H19" s="14" t="s">
        <v>3</v>
      </c>
      <c r="I19" s="1"/>
    </row>
    <row r="20" spans="1:9" x14ac:dyDescent="0.25">
      <c r="A20" s="1"/>
      <c r="B20" s="31"/>
      <c r="C20" s="26"/>
      <c r="D20" s="26"/>
      <c r="E20" s="26"/>
      <c r="F20" s="26"/>
      <c r="G20" s="74"/>
      <c r="H20" s="18"/>
      <c r="I20" s="1"/>
    </row>
    <row r="21" spans="1:9" x14ac:dyDescent="0.25">
      <c r="A21" s="1"/>
      <c r="B21" s="1"/>
      <c r="C21" s="1"/>
      <c r="D21" s="1"/>
      <c r="E21" s="1"/>
      <c r="F21" s="1"/>
      <c r="G21" s="75"/>
      <c r="H21" s="1"/>
      <c r="I21" s="1"/>
    </row>
    <row r="22" spans="1:9" x14ac:dyDescent="0.25">
      <c r="A22" s="1"/>
      <c r="B22" s="131" t="s">
        <v>70</v>
      </c>
      <c r="C22" s="132"/>
      <c r="D22" s="132"/>
      <c r="E22" s="132"/>
      <c r="F22" s="132"/>
      <c r="G22" s="139"/>
      <c r="H22" s="133"/>
      <c r="I22" s="1"/>
    </row>
    <row r="23" spans="1:9" x14ac:dyDescent="0.25">
      <c r="A23" s="1"/>
      <c r="B23" s="136" t="s">
        <v>71</v>
      </c>
      <c r="C23" s="137"/>
      <c r="D23" s="137"/>
      <c r="E23" s="137"/>
      <c r="F23" s="138"/>
      <c r="G23" s="72">
        <f>(G17+G18-G19)*(1+'Fane 15. Nøgletal'!C12)</f>
        <v>58248935.347652867</v>
      </c>
      <c r="H23" s="14" t="s">
        <v>3</v>
      </c>
      <c r="I23" s="1"/>
    </row>
    <row r="24" spans="1:9" x14ac:dyDescent="0.25">
      <c r="A24" s="1"/>
      <c r="B24" s="143" t="s">
        <v>72</v>
      </c>
      <c r="C24" s="144"/>
      <c r="D24" s="144"/>
      <c r="E24" s="144"/>
      <c r="F24" s="145"/>
      <c r="G24" s="72">
        <v>0</v>
      </c>
      <c r="H24" s="14" t="s">
        <v>3</v>
      </c>
      <c r="I24" s="1"/>
    </row>
    <row r="25" spans="1:9" x14ac:dyDescent="0.25">
      <c r="A25" s="1"/>
      <c r="B25" s="136" t="s">
        <v>73</v>
      </c>
      <c r="C25" s="137"/>
      <c r="D25" s="137"/>
      <c r="E25" s="137"/>
      <c r="F25" s="138"/>
      <c r="G25" s="72">
        <f>(G23+G24)*'Fane 15. Nøgletal'!C23</f>
        <v>1654269.7638733415</v>
      </c>
      <c r="H25" s="14" t="s">
        <v>3</v>
      </c>
      <c r="I25" s="1"/>
    </row>
    <row r="26" spans="1:9" x14ac:dyDescent="0.25">
      <c r="A26" s="1"/>
      <c r="B26" s="31"/>
      <c r="C26" s="26"/>
      <c r="D26" s="26"/>
      <c r="E26" s="26"/>
      <c r="F26" s="26"/>
      <c r="G26" s="74"/>
      <c r="H26" s="18"/>
      <c r="I26" s="1"/>
    </row>
    <row r="27" spans="1:9" x14ac:dyDescent="0.25">
      <c r="A27" s="1"/>
      <c r="B27" s="1"/>
      <c r="C27" s="1"/>
      <c r="D27" s="1"/>
      <c r="E27" s="1"/>
      <c r="F27" s="1"/>
      <c r="G27" s="75"/>
      <c r="H27" s="1"/>
      <c r="I27" s="1"/>
    </row>
    <row r="28" spans="1:9" x14ac:dyDescent="0.25">
      <c r="A28" s="1"/>
      <c r="B28" s="131" t="s">
        <v>74</v>
      </c>
      <c r="C28" s="132"/>
      <c r="D28" s="132"/>
      <c r="E28" s="132"/>
      <c r="F28" s="132"/>
      <c r="G28" s="139"/>
      <c r="H28" s="133"/>
      <c r="I28" s="1"/>
    </row>
    <row r="29" spans="1:9" x14ac:dyDescent="0.25">
      <c r="A29" s="1"/>
      <c r="B29" s="136" t="s">
        <v>75</v>
      </c>
      <c r="C29" s="137"/>
      <c r="D29" s="137"/>
      <c r="E29" s="137"/>
      <c r="F29" s="138"/>
      <c r="G29" s="72">
        <f>(G23+G24-G25)*(1+'Fane 15. Nøgletal'!C12)</f>
        <v>57709580.495779991</v>
      </c>
      <c r="H29" s="14" t="s">
        <v>3</v>
      </c>
      <c r="I29" s="1"/>
    </row>
    <row r="30" spans="1:9" x14ac:dyDescent="0.25">
      <c r="A30" s="1"/>
      <c r="B30" s="136" t="s">
        <v>139</v>
      </c>
      <c r="C30" s="137"/>
      <c r="D30" s="137"/>
      <c r="E30" s="137"/>
      <c r="F30" s="138"/>
      <c r="G30" s="72">
        <v>0</v>
      </c>
      <c r="H30" s="14" t="s">
        <v>3</v>
      </c>
      <c r="I30" s="1"/>
    </row>
    <row r="31" spans="1:9" x14ac:dyDescent="0.25">
      <c r="A31" s="1"/>
      <c r="B31" s="136" t="s">
        <v>76</v>
      </c>
      <c r="C31" s="137"/>
      <c r="D31" s="137"/>
      <c r="E31" s="137"/>
      <c r="F31" s="138"/>
      <c r="G31" s="72">
        <f>G29*'Fane 15. Nøgletal'!C23+G30*'Fane 15. Nøgletal'!C24</f>
        <v>1638952.0860801518</v>
      </c>
      <c r="H31" s="14" t="s">
        <v>3</v>
      </c>
      <c r="I31" s="1"/>
    </row>
    <row r="32" spans="1:9" x14ac:dyDescent="0.25">
      <c r="A32" s="1"/>
      <c r="B32" s="31"/>
      <c r="C32" s="26"/>
      <c r="D32" s="26"/>
      <c r="E32" s="26"/>
      <c r="F32" s="26"/>
      <c r="G32" s="74"/>
      <c r="H32" s="18"/>
      <c r="I32" s="1"/>
    </row>
    <row r="33" spans="1:9" x14ac:dyDescent="0.25">
      <c r="A33" s="1"/>
      <c r="B33" s="1"/>
      <c r="C33" s="1"/>
      <c r="D33" s="1"/>
      <c r="E33" s="1"/>
      <c r="F33" s="1"/>
      <c r="G33" s="75"/>
      <c r="H33" s="1"/>
      <c r="I33" s="1"/>
    </row>
    <row r="34" spans="1:9" x14ac:dyDescent="0.25">
      <c r="A34" s="1"/>
      <c r="B34" s="131" t="s">
        <v>165</v>
      </c>
      <c r="C34" s="132"/>
      <c r="D34" s="132"/>
      <c r="E34" s="132"/>
      <c r="F34" s="132"/>
      <c r="G34" s="139"/>
      <c r="H34" s="133"/>
      <c r="I34" s="1"/>
    </row>
    <row r="35" spans="1:9" x14ac:dyDescent="0.25">
      <c r="A35" s="1"/>
      <c r="B35" s="136" t="s">
        <v>78</v>
      </c>
      <c r="C35" s="137"/>
      <c r="D35" s="137"/>
      <c r="E35" s="137"/>
      <c r="F35" s="138"/>
      <c r="G35" s="72">
        <f>(G29+G30-G31)*(1+'Fane 15. Nøgletal'!C14)</f>
        <v>56255661.483451858</v>
      </c>
      <c r="H35" s="14" t="s">
        <v>3</v>
      </c>
      <c r="I35" s="1"/>
    </row>
    <row r="36" spans="1:9" x14ac:dyDescent="0.25">
      <c r="A36" s="1"/>
      <c r="B36" s="136" t="s">
        <v>167</v>
      </c>
      <c r="C36" s="137"/>
      <c r="D36" s="137"/>
      <c r="E36" s="137"/>
      <c r="F36" s="138"/>
      <c r="G36" s="72">
        <v>0</v>
      </c>
      <c r="H36" s="14" t="s">
        <v>3</v>
      </c>
      <c r="I36" s="1"/>
    </row>
    <row r="37" spans="1:9" x14ac:dyDescent="0.25">
      <c r="A37" s="1"/>
      <c r="B37" s="136" t="s">
        <v>166</v>
      </c>
      <c r="C37" s="137"/>
      <c r="D37" s="137"/>
      <c r="E37" s="137"/>
      <c r="F37" s="138"/>
      <c r="G37" s="72">
        <f>(G35+G36)*'Fane 15. Nøgletal'!C25</f>
        <v>832583.78995508759</v>
      </c>
      <c r="H37" s="14" t="s">
        <v>3</v>
      </c>
      <c r="I37" s="1"/>
    </row>
    <row r="38" spans="1:9" x14ac:dyDescent="0.25">
      <c r="A38" s="1"/>
      <c r="B38" s="31"/>
      <c r="C38" s="26"/>
      <c r="D38" s="26"/>
      <c r="E38" s="26"/>
      <c r="F38" s="26"/>
      <c r="G38" s="74"/>
      <c r="H38" s="18"/>
      <c r="I38" s="1"/>
    </row>
    <row r="39" spans="1:9" x14ac:dyDescent="0.25">
      <c r="A39" s="1"/>
      <c r="B39" s="1"/>
      <c r="C39" s="1"/>
      <c r="D39" s="1"/>
      <c r="E39" s="1"/>
      <c r="F39" s="1"/>
      <c r="G39" s="75"/>
      <c r="H39" s="1"/>
      <c r="I39" s="1"/>
    </row>
    <row r="40" spans="1:9" x14ac:dyDescent="0.25">
      <c r="A40" s="1"/>
      <c r="B40" s="131" t="s">
        <v>221</v>
      </c>
      <c r="C40" s="132"/>
      <c r="D40" s="132"/>
      <c r="E40" s="132"/>
      <c r="F40" s="132"/>
      <c r="G40" s="139"/>
      <c r="H40" s="133"/>
      <c r="I40" s="1"/>
    </row>
    <row r="41" spans="1:9" x14ac:dyDescent="0.25">
      <c r="A41" s="1"/>
      <c r="B41" s="136" t="s">
        <v>77</v>
      </c>
      <c r="C41" s="137"/>
      <c r="D41" s="137"/>
      <c r="E41" s="137"/>
      <c r="F41" s="138"/>
      <c r="G41" s="72">
        <f>(G35+G36-G37)*(1+'Fane 15. Nøgletal'!C14)</f>
        <v>55605973.849885315</v>
      </c>
      <c r="H41" s="14" t="s">
        <v>3</v>
      </c>
      <c r="I41" s="1"/>
    </row>
    <row r="42" spans="1:9" x14ac:dyDescent="0.25">
      <c r="A42" s="1"/>
      <c r="B42" s="42" t="s">
        <v>229</v>
      </c>
      <c r="C42" s="88"/>
      <c r="D42" s="88"/>
      <c r="E42" s="88"/>
      <c r="F42" s="89"/>
      <c r="G42" s="76">
        <f>('Fane 2.1. Økonomisk ramme 2023'!C11+'Fane 2.1. Økonomisk ramme 2023'!C13+'Fane 2.1. Økonomisk ramme 2023'!C15)*(1+'Fane 15. Nøgletal'!C15)</f>
        <v>1369546.1810568001</v>
      </c>
      <c r="H42" s="14" t="s">
        <v>3</v>
      </c>
      <c r="I42" s="1"/>
    </row>
    <row r="43" spans="1:9" x14ac:dyDescent="0.25">
      <c r="A43" s="1"/>
      <c r="B43" s="136" t="s">
        <v>168</v>
      </c>
      <c r="C43" s="137"/>
      <c r="D43" s="137"/>
      <c r="E43" s="137"/>
      <c r="F43" s="138"/>
      <c r="G43" s="72">
        <f>(G41)*'Fane 15. Nøgletal'!C25+G42*'Fane 15. Nøgletal'!C26</f>
        <v>822968.41297830269</v>
      </c>
      <c r="H43" s="14" t="s">
        <v>3</v>
      </c>
      <c r="I43" s="1"/>
    </row>
    <row r="44" spans="1:9" x14ac:dyDescent="0.25">
      <c r="A44" s="1"/>
      <c r="B44" s="31"/>
      <c r="C44" s="26"/>
      <c r="D44" s="26"/>
      <c r="E44" s="26"/>
      <c r="F44" s="26"/>
      <c r="G44" s="74"/>
      <c r="H44" s="18"/>
      <c r="I44" s="1"/>
    </row>
    <row r="45" spans="1:9" x14ac:dyDescent="0.25">
      <c r="A45" s="1"/>
      <c r="B45" s="1"/>
      <c r="C45" s="1"/>
      <c r="D45" s="1"/>
      <c r="E45" s="1"/>
      <c r="F45" s="1"/>
      <c r="G45" s="75"/>
      <c r="H45" s="1"/>
      <c r="I45" s="1"/>
    </row>
    <row r="46" spans="1:9" x14ac:dyDescent="0.25">
      <c r="A46" s="1"/>
      <c r="B46" s="1"/>
      <c r="C46" s="1"/>
      <c r="D46" s="1"/>
      <c r="E46" s="1"/>
      <c r="F46" s="1"/>
      <c r="G46" s="75"/>
      <c r="H46" s="1"/>
      <c r="I46" s="1"/>
    </row>
    <row r="47" spans="1:9" x14ac:dyDescent="0.25">
      <c r="A47" s="1"/>
      <c r="B47" s="1"/>
      <c r="C47" s="1"/>
      <c r="D47" s="1"/>
      <c r="E47" s="1"/>
      <c r="F47" s="1"/>
      <c r="G47" s="75"/>
      <c r="H47" s="1"/>
      <c r="I47" s="1"/>
    </row>
    <row r="48" spans="1:9" x14ac:dyDescent="0.25">
      <c r="A48" s="1"/>
      <c r="B48" s="1"/>
      <c r="C48" s="1"/>
      <c r="D48" s="1"/>
      <c r="E48" s="1"/>
      <c r="F48" s="1"/>
      <c r="G48" s="75"/>
      <c r="H48" s="1"/>
      <c r="I48" s="1"/>
    </row>
    <row r="49" spans="1:9" x14ac:dyDescent="0.25">
      <c r="A49" s="1"/>
      <c r="B49" s="1"/>
      <c r="C49" s="1"/>
      <c r="D49" s="1"/>
      <c r="E49" s="1"/>
      <c r="F49" s="1"/>
      <c r="G49" s="75"/>
      <c r="H49" s="1"/>
      <c r="I49" s="1"/>
    </row>
    <row r="50" spans="1:9" x14ac:dyDescent="0.25">
      <c r="A50" s="1"/>
      <c r="B50" s="1"/>
      <c r="C50" s="1"/>
      <c r="D50" s="1"/>
      <c r="E50" s="1"/>
      <c r="F50" s="1"/>
      <c r="G50" s="75"/>
      <c r="H50" s="1"/>
      <c r="I50" s="1"/>
    </row>
    <row r="51" spans="1:9" x14ac:dyDescent="0.25">
      <c r="A51" s="1"/>
      <c r="B51" s="1"/>
      <c r="C51" s="1"/>
      <c r="D51" s="1"/>
      <c r="E51" s="1"/>
      <c r="F51" s="1"/>
      <c r="G51" s="75"/>
      <c r="H51" s="1"/>
      <c r="I51" s="1"/>
    </row>
    <row r="52" spans="1:9" x14ac:dyDescent="0.25">
      <c r="A52" s="1"/>
      <c r="B52" s="131" t="s">
        <v>242</v>
      </c>
      <c r="C52" s="132"/>
      <c r="D52" s="132"/>
      <c r="E52" s="132"/>
      <c r="F52" s="132"/>
      <c r="G52" s="139"/>
      <c r="H52" s="133"/>
      <c r="I52" s="1"/>
    </row>
    <row r="53" spans="1:9" x14ac:dyDescent="0.25">
      <c r="A53" s="1"/>
      <c r="B53" s="136" t="s">
        <v>140</v>
      </c>
      <c r="C53" s="137"/>
      <c r="D53" s="137"/>
      <c r="E53" s="137"/>
      <c r="F53" s="138"/>
      <c r="G53" s="72">
        <f>(G41+G42-G43)*(1+'Fane 15. Nøgletal'!C15)</f>
        <v>58151582.455563322</v>
      </c>
      <c r="H53" s="14" t="s">
        <v>3</v>
      </c>
      <c r="I53" s="1"/>
    </row>
    <row r="54" spans="1:9" x14ac:dyDescent="0.25">
      <c r="A54" s="1"/>
      <c r="B54" s="136" t="s">
        <v>141</v>
      </c>
      <c r="C54" s="137"/>
      <c r="D54" s="137"/>
      <c r="E54" s="137"/>
      <c r="F54" s="138"/>
      <c r="G54" s="72">
        <f>(G53)*'Fane 15. Nøgletal'!C26</f>
        <v>0</v>
      </c>
      <c r="H54" s="14" t="s">
        <v>3</v>
      </c>
      <c r="I54" s="1"/>
    </row>
    <row r="55" spans="1:9" x14ac:dyDescent="0.25">
      <c r="A55" s="1"/>
      <c r="B55" s="31"/>
      <c r="C55" s="26"/>
      <c r="D55" s="26"/>
      <c r="E55" s="26"/>
      <c r="F55" s="26"/>
      <c r="G55" s="74"/>
      <c r="H55" s="18"/>
      <c r="I55" s="1"/>
    </row>
    <row r="56" spans="1:9" x14ac:dyDescent="0.25">
      <c r="A56" s="1"/>
      <c r="B56" s="1"/>
      <c r="C56" s="1"/>
      <c r="D56" s="1"/>
      <c r="E56" s="1"/>
      <c r="F56" s="1"/>
      <c r="G56" s="75"/>
      <c r="H56" s="1"/>
      <c r="I56" s="1"/>
    </row>
    <row r="57" spans="1:9" x14ac:dyDescent="0.25">
      <c r="A57" s="1"/>
      <c r="B57" s="131" t="s">
        <v>153</v>
      </c>
      <c r="C57" s="132"/>
      <c r="D57" s="132"/>
      <c r="E57" s="132"/>
      <c r="F57" s="132"/>
      <c r="G57" s="139"/>
      <c r="H57" s="133"/>
      <c r="I57" s="1"/>
    </row>
    <row r="58" spans="1:9" x14ac:dyDescent="0.25">
      <c r="A58" s="1"/>
      <c r="B58" s="136" t="s">
        <v>173</v>
      </c>
      <c r="C58" s="137"/>
      <c r="D58" s="137"/>
      <c r="E58" s="137"/>
      <c r="F58" s="138"/>
      <c r="G58" s="72">
        <f>(G53-G54)*(1+'Fane 15. Nøgletal'!C15)</f>
        <v>60221778.790981382</v>
      </c>
      <c r="H58" s="14" t="s">
        <v>3</v>
      </c>
      <c r="I58" s="1"/>
    </row>
    <row r="59" spans="1:9" x14ac:dyDescent="0.25">
      <c r="A59" s="1"/>
      <c r="B59" s="136" t="s">
        <v>174</v>
      </c>
      <c r="C59" s="137"/>
      <c r="D59" s="137"/>
      <c r="E59" s="137"/>
      <c r="F59" s="138"/>
      <c r="G59" s="72">
        <f>(G58)*'Fane 15. Nøgletal'!C26</f>
        <v>0</v>
      </c>
      <c r="H59" s="14" t="s">
        <v>3</v>
      </c>
      <c r="I59" s="1"/>
    </row>
    <row r="60" spans="1:9" x14ac:dyDescent="0.25">
      <c r="A60" s="1"/>
      <c r="B60" s="31"/>
      <c r="C60" s="26"/>
      <c r="D60" s="26"/>
      <c r="E60" s="26"/>
      <c r="F60" s="26"/>
      <c r="G60" s="74"/>
      <c r="H60" s="18"/>
      <c r="I60" s="1"/>
    </row>
    <row r="61" spans="1:9" x14ac:dyDescent="0.25">
      <c r="A61" s="1"/>
      <c r="B61" s="1"/>
      <c r="C61" s="1"/>
      <c r="D61" s="1"/>
      <c r="E61" s="1"/>
      <c r="F61" s="1"/>
      <c r="G61" s="75"/>
      <c r="H61" s="1"/>
      <c r="I61" s="1"/>
    </row>
    <row r="62" spans="1:9" x14ac:dyDescent="0.25">
      <c r="A62" s="1"/>
      <c r="B62" s="131" t="s">
        <v>196</v>
      </c>
      <c r="C62" s="132"/>
      <c r="D62" s="132"/>
      <c r="E62" s="132"/>
      <c r="F62" s="132"/>
      <c r="G62" s="139"/>
      <c r="H62" s="133"/>
      <c r="I62" s="1"/>
    </row>
    <row r="63" spans="1:9" x14ac:dyDescent="0.25">
      <c r="A63" s="1"/>
      <c r="B63" s="136" t="s">
        <v>197</v>
      </c>
      <c r="C63" s="137"/>
      <c r="D63" s="137"/>
      <c r="E63" s="137"/>
      <c r="F63" s="138"/>
      <c r="G63" s="72">
        <f>(G58-G59)*(1+'Fane 15. Nøgletal'!C15)</f>
        <v>62365674.115940325</v>
      </c>
      <c r="H63" s="14" t="s">
        <v>3</v>
      </c>
      <c r="I63" s="1"/>
    </row>
    <row r="64" spans="1:9" x14ac:dyDescent="0.25">
      <c r="A64" s="1"/>
      <c r="B64" s="136" t="s">
        <v>198</v>
      </c>
      <c r="C64" s="137"/>
      <c r="D64" s="137"/>
      <c r="E64" s="137"/>
      <c r="F64" s="138"/>
      <c r="G64" s="72">
        <f>(G63)*'Fane 15. Nøgletal'!C26</f>
        <v>0</v>
      </c>
      <c r="H64" s="14" t="s">
        <v>3</v>
      </c>
      <c r="I64" s="1"/>
    </row>
    <row r="65" spans="1:9" x14ac:dyDescent="0.25">
      <c r="A65" s="1"/>
      <c r="B65" s="31"/>
      <c r="C65" s="26"/>
      <c r="D65" s="26"/>
      <c r="E65" s="26"/>
      <c r="F65" s="26"/>
      <c r="G65" s="26"/>
      <c r="H65" s="18"/>
      <c r="I65" s="1"/>
    </row>
    <row r="66" spans="1:9" x14ac:dyDescent="0.25">
      <c r="A66" s="1"/>
      <c r="B66" s="1"/>
      <c r="C66" s="1"/>
      <c r="D66" s="1"/>
      <c r="E66" s="1"/>
      <c r="F66" s="1"/>
      <c r="G66" s="1"/>
      <c r="H66" s="1"/>
      <c r="I66" s="1"/>
    </row>
    <row r="67" spans="1:9" x14ac:dyDescent="0.25">
      <c r="A67" s="1"/>
      <c r="B67" s="1"/>
      <c r="C67" s="1"/>
      <c r="D67" s="1"/>
      <c r="E67" s="1"/>
      <c r="F67" s="1"/>
      <c r="G67" s="1"/>
      <c r="H67" s="1"/>
      <c r="I67" s="1"/>
    </row>
    <row r="68" spans="1:9" x14ac:dyDescent="0.25">
      <c r="A68" s="1"/>
      <c r="B68" s="1"/>
      <c r="C68" s="1"/>
      <c r="D68" s="1"/>
      <c r="E68" s="1"/>
      <c r="F68" s="1"/>
      <c r="G68" s="1"/>
      <c r="H68" s="1"/>
      <c r="I68" s="1"/>
    </row>
    <row r="69" spans="1:9" x14ac:dyDescent="0.25">
      <c r="A69" s="1"/>
      <c r="B69" s="1"/>
      <c r="C69" s="1"/>
      <c r="D69" s="1"/>
      <c r="E69" s="1"/>
      <c r="F69" s="1"/>
      <c r="G69" s="1"/>
      <c r="H69" s="1"/>
      <c r="I69" s="1"/>
    </row>
    <row r="70" spans="1:9" x14ac:dyDescent="0.25">
      <c r="A70" s="1"/>
      <c r="B70" s="1"/>
      <c r="C70" s="1"/>
      <c r="D70" s="1"/>
      <c r="E70" s="1"/>
      <c r="F70" s="1"/>
      <c r="G70" s="1"/>
      <c r="H70" s="1"/>
      <c r="I70" s="1"/>
    </row>
  </sheetData>
  <sheetProtection algorithmName="SHA-512" hashValue="HxRNS1VyZ5AIkJuSJakEq2mtqPeLbrqR3Gx8E1Wjcin58RJMW8HHQJzMKN9lfSraWvFe0cCwe5oJKhFxriYSLg==" saltValue="gDvkxaofg1H+JdSCva2YTw==" spinCount="100000" sheet="1" objects="1" scenarios="1"/>
  <mergeCells count="37">
    <mergeCell ref="B62:H62"/>
    <mergeCell ref="B63:F63"/>
    <mergeCell ref="B64:F64"/>
    <mergeCell ref="B1:H3"/>
    <mergeCell ref="B52:H52"/>
    <mergeCell ref="B53:F53"/>
    <mergeCell ref="B54:F54"/>
    <mergeCell ref="B35:F35"/>
    <mergeCell ref="B43:F43"/>
    <mergeCell ref="B19:F19"/>
    <mergeCell ref="B4:H4"/>
    <mergeCell ref="B5:F5"/>
    <mergeCell ref="B6:F6"/>
    <mergeCell ref="B9:H9"/>
    <mergeCell ref="B11:F11"/>
    <mergeCell ref="B23:F23"/>
    <mergeCell ref="B10:F10"/>
    <mergeCell ref="B12:F12"/>
    <mergeCell ref="B13:F13"/>
    <mergeCell ref="B16:H16"/>
    <mergeCell ref="B17:F17"/>
    <mergeCell ref="B31:F31"/>
    <mergeCell ref="B34:H34"/>
    <mergeCell ref="B36:F36"/>
    <mergeCell ref="B24:F24"/>
    <mergeCell ref="B25:F25"/>
    <mergeCell ref="B18:F18"/>
    <mergeCell ref="B30:F30"/>
    <mergeCell ref="B22:H22"/>
    <mergeCell ref="B28:H28"/>
    <mergeCell ref="B29:F29"/>
    <mergeCell ref="B57:H57"/>
    <mergeCell ref="B58:F58"/>
    <mergeCell ref="B59:F59"/>
    <mergeCell ref="B41:F41"/>
    <mergeCell ref="B37:F37"/>
    <mergeCell ref="B40:H4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H45"/>
  <sheetViews>
    <sheetView showGridLines="0" view="pageLayout" zoomScaleNormal="100" workbookViewId="0"/>
  </sheetViews>
  <sheetFormatPr defaultColWidth="9.140625" defaultRowHeight="15" x14ac:dyDescent="0.25"/>
  <cols>
    <col min="1" max="1" width="7.85546875" style="2" customWidth="1"/>
    <col min="2" max="5" width="9.140625" style="2"/>
    <col min="6" max="6" width="19.85546875" style="2" customWidth="1"/>
    <col min="7" max="7" width="10.28515625" style="2" customWidth="1"/>
    <col min="8" max="8" width="7.85546875" style="2" customWidth="1"/>
    <col min="9" max="16384" width="9.140625"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19" t="s">
        <v>88</v>
      </c>
      <c r="C3" s="119"/>
      <c r="D3" s="119"/>
      <c r="E3" s="119"/>
      <c r="F3" s="119"/>
      <c r="G3" s="119"/>
      <c r="H3" s="1"/>
    </row>
    <row r="4" spans="1:8" ht="15" customHeight="1" x14ac:dyDescent="0.25">
      <c r="A4" s="1"/>
      <c r="B4" s="119"/>
      <c r="C4" s="119"/>
      <c r="D4" s="119"/>
      <c r="E4" s="119"/>
      <c r="F4" s="119"/>
      <c r="G4" s="119"/>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31" t="s">
        <v>10</v>
      </c>
      <c r="C8" s="132"/>
      <c r="D8" s="132"/>
      <c r="E8" s="132"/>
      <c r="F8" s="132"/>
      <c r="G8" s="133"/>
      <c r="H8" s="1"/>
    </row>
    <row r="9" spans="1:8" x14ac:dyDescent="0.25">
      <c r="A9" s="1"/>
      <c r="B9" s="136" t="s">
        <v>154</v>
      </c>
      <c r="C9" s="137"/>
      <c r="D9" s="137"/>
      <c r="E9" s="137"/>
      <c r="F9" s="138"/>
      <c r="G9" s="34">
        <v>1.0294725686455182E-2</v>
      </c>
      <c r="H9" s="1"/>
    </row>
    <row r="10" spans="1:8" x14ac:dyDescent="0.25">
      <c r="A10" s="1"/>
      <c r="B10" s="31"/>
      <c r="C10" s="26"/>
      <c r="D10" s="26"/>
      <c r="E10" s="26"/>
      <c r="F10" s="26"/>
      <c r="G10" s="18"/>
      <c r="H10" s="1"/>
    </row>
    <row r="11" spans="1:8" ht="29.25" customHeight="1" x14ac:dyDescent="0.25">
      <c r="A11" s="1"/>
      <c r="B11" s="148" t="s">
        <v>236</v>
      </c>
      <c r="C11" s="149"/>
      <c r="D11" s="149"/>
      <c r="E11" s="149"/>
      <c r="F11" s="149"/>
      <c r="G11" s="150"/>
      <c r="H11" s="1"/>
    </row>
    <row r="12" spans="1:8" x14ac:dyDescent="0.25">
      <c r="A12" s="1"/>
      <c r="B12" s="1"/>
      <c r="C12" s="1"/>
      <c r="D12" s="1"/>
      <c r="E12" s="1"/>
      <c r="F12" s="1"/>
      <c r="G12" s="1"/>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sheetData>
  <sheetProtection algorithmName="SHA-512" hashValue="EdGcNMT6CzGVr4LHB7HY3566AXajoSi8aRoR+YnViClid60407Yxex5J8VDi9GrrU4Are8F4QBaiw9lwGIvS4A==" saltValue="qaXXniQayrESahazuDzH9g==" spinCount="100000" sheet="1" objects="1" scenarios="1"/>
  <mergeCells count="4">
    <mergeCell ref="B11:G11"/>
    <mergeCell ref="B3:G4"/>
    <mergeCell ref="B8:G8"/>
    <mergeCell ref="B9:F9"/>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20</vt:i4>
      </vt:variant>
    </vt:vector>
  </HeadingPairs>
  <TitlesOfParts>
    <vt:vector size="20"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Korrektion af ØR2021</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2022-12-01T08:53:29Z</dcterms:modified>
</cp:coreProperties>
</file>