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Arwos Vand AS (V015)\ØR2024\"/>
    </mc:Choice>
  </mc:AlternateContent>
  <xr:revisionPtr revIDLastSave="0" documentId="13_ncr:1_{E0C158CD-DE4C-4AF4-AC2E-5BB8FCA6C31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5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51"/>
  <c r="E31" i="51" l="1"/>
  <c r="E33" i="51" s="1"/>
  <c r="E27" i="51"/>
  <c r="C17" i="22" l="1"/>
  <c r="C17" i="15"/>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24" i="37" s="1"/>
  <c r="E25" i="37" s="1"/>
  <c r="C10" i="37"/>
  <c r="C24" i="37" s="1"/>
  <c r="C25"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<sst xmlns="http://schemas.openxmlformats.org/spreadsheetml/2006/main" count="575" uniqueCount="274">
  <si>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</si>
  <si>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</si>
  <si>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</si>
  <si>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</si>
  <si>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</si>
  <si>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</si>
  <si>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</si>
  <si>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</si>
  <si>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</si>
  <si>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</si>
  <si>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</si>
  <si>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</si>
  <si>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</si>
  <si>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</si>
  <si>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</si>
  <si>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</si>
  <si>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</si>
  <si>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</si>
  <si>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</si>
  <si>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</si>
  <si>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</si>
  <si>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</si>
  <si>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</si>
  <si>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</si>
  <si>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</si>
  <si>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</si>
  <si>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</si>
  <si>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</si>
  <si>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</si>
  <si>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</si>
  <si>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</si>
  <si>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</si>
  <si>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</si>
  <si>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</si>
  <si>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</si>
  <si>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</si>
  <si>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</si>
  <si>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</si>
  <si>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</si>
  <si>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</si>
  <si>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</si>
  <si>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</si>
  <si>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</si>
  <si>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</si>
  <si>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</si>
  <si>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</si>
  <si>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</si>
  <si>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</si>
  <si>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</si>
  <si>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</si>
  <si>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</si>
  <si>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</si>
  <si>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</si>
  <si>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</si>
  <si>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</si>
  <si>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</si>
  <si>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</si>
  <si>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</si>
  <si>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</si>
  <si>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</si>
  <si>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</si>
  <si>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</si>
  <si>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</si>
  <si>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</si>
  <si>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</si>
  <si>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</si>
  <si>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</si>
  <si>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</si>
  <si>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</si>
  <si>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</si>
  <si>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</si>
  <si>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</si>
  <si>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</si>
  <si>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</si>
  <si>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</si>
  <si>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</si>
  <si>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</si>
  <si>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</si>
  <si>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</si>
  <si>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</si>
  <si>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</si>
  <si>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</si>
  <si>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</si>
  <si>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</si>
  <si>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</si>
  <si>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</si>
  <si>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</si>
  <si>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</si>
  <si>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</si>
  <si>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</si>
  <si>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</si>
  <si>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</si>
  <si>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</si>
  <si>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</si>
  <si>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</si>
  <si>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</si>
  <si>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</si>
  <si>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</si>
  <si>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</si>
  <si>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</si>
  <si>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</si>
  <si>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</si>
  <si>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</si>
  <si>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</si>
  <si>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</si>
  <si>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</si>
  <si>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</si>
  <si>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</si>
  <si>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</si>
  <si>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</si>
  <si>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</si>
  <si>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</si>
  <si>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</si>
  <si>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</si>
  <si>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</si>
  <si>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</si>
  <si>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</si>
  <si>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</si>
  <si>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</si>
  <si>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</si>
  <si>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</si>
  <si>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</si>
  <si>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</si>
  <si>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</si>
  <si>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</si>
  <si>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</si>
  <si>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</si>
  <si>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</si>
  <si>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</si>
  <si>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</si>
  <si>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</si>
  <si>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</si>
  <si>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</si>
  <si>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</si>
  <si>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</si>
  <si>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</si>
  <si>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</si>
  <si>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</si>
  <si>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</si>
  <si>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</si>
  <si>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</si>
  <si>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</si>
  <si>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</si>
  <si>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</si>
  <si>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</si>
  <si>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</si>
  <si>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</si>
  <si>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</si>
  <si>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</si>
  <si>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</si>
  <si>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</si>
  <si>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</si>
  <si>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</si>
  <si>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</si>
  <si>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</si>
  <si>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</si>
  <si>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</si>
  <si>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</si>
  <si>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</si>
  <si>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</si>
  <si>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</si>
  <si>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</si>
  <si>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</si>
  <si>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</si>
  <si>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</si>
  <si>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</si>
  <si>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</si>
  <si>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</si>
  <si>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</si>
  <si>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</si>
  <si>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</si>
  <si>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</si>
  <si>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</si>
  <si>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</si>
  <si>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</si>
  <si>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</si>
  <si>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</si>
  <si>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</si>
  <si>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</si>
  <si>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</si>
  <si>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</si>
  <si>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</si>
  <si>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</si>
  <si>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</si>
  <si>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</si>
  <si>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</si>
  <si>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</si>
  <si>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</si>
  <si>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</si>
  <si>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</si>
  <si>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</si>
  <si>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</si>
  <si>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</si>
  <si>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</si>
  <si>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</si>
  <si>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</si>
  <si>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</si>
  <si>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</si>
  <si>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</si>
  <si>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</si>
  <si>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</si>
  <si>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</si>
  <si>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</si>
  <si>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</si>
  <si>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</si>
  <si>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</si>
  <si>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</si>
  <si>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</si>
  <si>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</si>
  <si>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</si>
  <si>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</si>
  <si>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</si>
  <si>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</si>
  <si>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</si>
  <si>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</si>
  <si>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</si>
  <si>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</si>
  <si>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</si>
  <si>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</si>
  <si>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</si>
  <si>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</si>
  <si>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</si>
  <si>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</si>
  <si>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</si>
  <si>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</si>
  <si>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</si>
  <si>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</si>
  <si>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</si>
  <si>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</si>
  <si>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</si>
  <si>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</si>
  <si>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</si>
  <si>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</si>
  <si>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</si>
  <si>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</si>
  <si>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</si>
  <si>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</si>
  <si>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</si>
  <si>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</si>
  <si>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</si>
  <si>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</si>
  <si>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</si>
  <si>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</si>
  <si>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</si>
  <si>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</si>
  <si>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</si>
  <si>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Erstatninger</t>
  </si>
  <si>
    <t>Private boringer</t>
  </si>
  <si>
    <t>2022 LE34 Nyt ledningsregistreringsprogram 599809-2022</t>
  </si>
  <si>
    <t>2021 Hjarupvej, områdefornyelse Aabenraa 590023-2023</t>
  </si>
  <si>
    <t>2021 Møllemærsk 590033-2021</t>
  </si>
  <si>
    <t>2021 Styrtom, områdefornyelse Aabenraa 594504-2021</t>
  </si>
  <si>
    <t>2022 Bjerggade 590049-2022</t>
  </si>
  <si>
    <t>2022 Klostrup, Blegen, Bjerggade m.m. 594505-2022</t>
  </si>
  <si>
    <t>2022 Styrtom 594504-2022</t>
  </si>
  <si>
    <t>2022 Varnæsvej 149 590040-2022</t>
  </si>
  <si>
    <t>2022 Vingelhøjvej 31 590051-2022</t>
  </si>
  <si>
    <t>- Byggemodning Stolligvej</t>
  </si>
  <si>
    <t>2022 Vandtilslutninger (mindre) 594084-2022</t>
  </si>
  <si>
    <t xml:space="preserve">- Analyser PFAS </t>
  </si>
  <si>
    <t>- Sikre stabil forsyningssikkerhed og nedbringe vandspild</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</si>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</sst>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235</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162</v>
      </c>
      <c r="E13" s="90"/>
      <c r="F13" s="90"/>
      <c r="G13" s="91"/>
      <c r="H13" s="1"/>
      <c r="I13" s="1"/>
    </row>
    <row r="14" spans="1:9" x14ac:dyDescent="0.25">
      <c r="A14" s="1"/>
      <c r="B14" s="1"/>
      <c r="C14" s="6" t="s">
        <v>14</v>
      </c>
      <c r="D14" s="89" t="s">
        <v>197</v>
      </c>
      <c r="E14" s="90"/>
      <c r="F14" s="90"/>
      <c r="G14" s="91"/>
      <c r="H14" s="1"/>
      <c r="I14" s="1"/>
    </row>
    <row r="15" spans="1:9" x14ac:dyDescent="0.25">
      <c r="A15" s="1"/>
      <c r="B15" s="1"/>
      <c r="C15" s="6" t="s">
        <v>30</v>
      </c>
      <c r="D15" s="89" t="s">
        <v>141</v>
      </c>
      <c r="E15" s="90"/>
      <c r="F15" s="90"/>
      <c r="G15" s="91"/>
      <c r="H15" s="1"/>
      <c r="I15" s="1"/>
    </row>
    <row r="16" spans="1:9" x14ac:dyDescent="0.25">
      <c r="A16" s="1"/>
      <c r="B16" s="1"/>
      <c r="C16" s="6" t="s">
        <v>31</v>
      </c>
      <c r="D16" s="89" t="s">
        <v>194</v>
      </c>
      <c r="E16" s="90"/>
      <c r="F16" s="90"/>
      <c r="G16" s="91"/>
      <c r="H16" s="1"/>
      <c r="I16" s="1"/>
    </row>
    <row r="17" spans="1:9" x14ac:dyDescent="0.25">
      <c r="A17" s="1"/>
      <c r="B17" s="1"/>
      <c r="C17" s="6" t="s">
        <v>102</v>
      </c>
      <c r="D17" s="89" t="s">
        <v>195</v>
      </c>
      <c r="E17" s="90"/>
      <c r="F17" s="90"/>
      <c r="G17" s="91"/>
      <c r="H17" s="1"/>
      <c r="I17" s="1"/>
    </row>
    <row r="18" spans="1:9" x14ac:dyDescent="0.25">
      <c r="A18" s="1"/>
      <c r="B18" s="1"/>
      <c r="C18" s="6" t="s">
        <v>86</v>
      </c>
      <c r="D18" s="95" t="s">
        <v>79</v>
      </c>
      <c r="E18" s="96"/>
      <c r="F18" s="96"/>
      <c r="G18" s="97"/>
      <c r="H18" s="1"/>
      <c r="I18" s="1"/>
    </row>
    <row r="19" spans="1:9" x14ac:dyDescent="0.25">
      <c r="A19" s="1"/>
      <c r="B19" s="1"/>
      <c r="C19" s="6" t="s">
        <v>87</v>
      </c>
      <c r="D19" s="95" t="s">
        <v>80</v>
      </c>
      <c r="E19" s="96"/>
      <c r="F19" s="96"/>
      <c r="G19" s="97"/>
      <c r="H19" s="1"/>
      <c r="I19" s="1"/>
    </row>
    <row r="20" spans="1:9" x14ac:dyDescent="0.25">
      <c r="A20" s="1"/>
      <c r="B20" s="1"/>
      <c r="C20" s="6" t="s">
        <v>7</v>
      </c>
      <c r="D20" s="95" t="s">
        <v>9</v>
      </c>
      <c r="E20" s="96"/>
      <c r="F20" s="96"/>
      <c r="G20" s="97"/>
      <c r="H20" s="1"/>
      <c r="I20" s="1"/>
    </row>
    <row r="21" spans="1:9" x14ac:dyDescent="0.25">
      <c r="A21" s="1"/>
      <c r="B21" s="1"/>
      <c r="C21" s="6" t="s">
        <v>88</v>
      </c>
      <c r="D21" s="86" t="s">
        <v>11</v>
      </c>
      <c r="E21" s="87"/>
      <c r="F21" s="87"/>
      <c r="G21" s="88"/>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3" t="s">
        <v>84</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xoNe1mWh7ux5JN4UfAFwn0LDJh5fssrGXf4JKUXo4EDdi+gHuCnU/gyvP/3OUGPz77GTonI7/VQJSFDNOgRM2g==" saltValue="bek8x/w3gCiTeDcpqK8jE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92</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2" t="s">
        <v>226</v>
      </c>
      <c r="C8" s="103"/>
      <c r="D8" s="104"/>
      <c r="E8" s="1"/>
      <c r="F8" s="1"/>
    </row>
    <row r="9" spans="1:6" ht="15" customHeight="1" x14ac:dyDescent="0.25">
      <c r="A9" s="1"/>
      <c r="B9" s="32" t="s">
        <v>28</v>
      </c>
      <c r="C9" s="11" t="s">
        <v>212</v>
      </c>
      <c r="D9" s="11"/>
      <c r="E9" s="1"/>
      <c r="F9" s="1"/>
    </row>
    <row r="10" spans="1:6" ht="15" customHeight="1" x14ac:dyDescent="0.25">
      <c r="A10" s="1"/>
      <c r="B10" s="69" t="s">
        <v>243</v>
      </c>
      <c r="C10" s="9">
        <v>7861161</v>
      </c>
      <c r="D10" s="14" t="s">
        <v>3</v>
      </c>
      <c r="E10" s="1"/>
      <c r="F10" s="1"/>
    </row>
    <row r="11" spans="1:6" x14ac:dyDescent="0.25">
      <c r="A11" s="1"/>
      <c r="B11" s="69" t="s">
        <v>244</v>
      </c>
      <c r="C11" s="9">
        <v>77873</v>
      </c>
      <c r="D11" s="14" t="s">
        <v>3</v>
      </c>
      <c r="E11" s="1"/>
      <c r="F11" s="1"/>
    </row>
    <row r="12" spans="1:6" ht="26.25" x14ac:dyDescent="0.25">
      <c r="A12" s="1"/>
      <c r="B12" s="56" t="s">
        <v>245</v>
      </c>
      <c r="C12" s="9">
        <v>5804</v>
      </c>
      <c r="D12" s="14" t="s">
        <v>3</v>
      </c>
      <c r="E12" s="1"/>
      <c r="F12" s="1"/>
    </row>
    <row r="13" spans="1:6" x14ac:dyDescent="0.25">
      <c r="A13" s="1"/>
      <c r="B13" s="69" t="s">
        <v>246</v>
      </c>
      <c r="C13" s="9">
        <v>1000</v>
      </c>
      <c r="D13" s="14" t="s">
        <v>3</v>
      </c>
      <c r="E13" s="1"/>
      <c r="F13" s="1"/>
    </row>
    <row r="14" spans="1:6" x14ac:dyDescent="0.25">
      <c r="A14" s="1"/>
      <c r="B14" s="69" t="s">
        <v>247</v>
      </c>
      <c r="C14" s="9">
        <v>805725</v>
      </c>
      <c r="D14" s="14" t="s">
        <v>3</v>
      </c>
      <c r="E14" s="1"/>
      <c r="F14" s="1"/>
    </row>
    <row r="15" spans="1:6" x14ac:dyDescent="0.25">
      <c r="A15" s="1"/>
      <c r="B15" s="69"/>
      <c r="C15" s="9"/>
      <c r="D15" s="14" t="s">
        <v>3</v>
      </c>
      <c r="E15" s="1"/>
      <c r="F15" s="1"/>
    </row>
    <row r="16" spans="1:6" x14ac:dyDescent="0.25">
      <c r="A16" s="1"/>
      <c r="B16" s="69"/>
      <c r="C16" s="9"/>
      <c r="D16" s="14" t="s">
        <v>3</v>
      </c>
      <c r="E16" s="1"/>
      <c r="F16" s="1"/>
    </row>
    <row r="17" spans="1:6" x14ac:dyDescent="0.25">
      <c r="A17" s="1"/>
      <c r="B17" s="69"/>
      <c r="C17" s="9"/>
      <c r="D17" s="14" t="s">
        <v>3</v>
      </c>
      <c r="E17" s="1"/>
      <c r="F17" s="1"/>
    </row>
    <row r="18" spans="1:6" x14ac:dyDescent="0.25">
      <c r="A18" s="1"/>
      <c r="B18" s="69"/>
      <c r="C18" s="9"/>
      <c r="D18" s="14" t="s">
        <v>3</v>
      </c>
      <c r="E18" s="1"/>
      <c r="F18" s="1"/>
    </row>
    <row r="19" spans="1:6" x14ac:dyDescent="0.25">
      <c r="A19" s="1"/>
      <c r="B19" s="53" t="s">
        <v>213</v>
      </c>
      <c r="C19" s="12">
        <f>SUM(C10:C18)</f>
        <v>8751563</v>
      </c>
      <c r="D19" s="13" t="s">
        <v>3</v>
      </c>
      <c r="E19" s="1"/>
      <c r="F19" s="1"/>
    </row>
    <row r="20" spans="1:6" x14ac:dyDescent="0.25">
      <c r="A20" s="1"/>
      <c r="B20" s="53" t="s">
        <v>214</v>
      </c>
      <c r="C20" s="12">
        <f>C19*(1+'Fane 13. Nøgletal'!C16)^2</f>
        <v>10222951.385064319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P2qbgFgk3EMBLfEP+epl7Is4VzLGoQngJrsWXN9dt/3+ZGApidZoWMULE8pOg6e3pWZjNMo1iWekUqAqAqqVkg==" saltValue="yTBOnSVTcsVrPsBKG48Nc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A95B4-909E-40A0-8A8A-09BDC486A6C6}">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1" t="s">
        <v>227</v>
      </c>
      <c r="C3" s="101"/>
      <c r="D3" s="101"/>
      <c r="E3" s="101"/>
      <c r="F3" s="101"/>
      <c r="G3" s="1"/>
    </row>
    <row r="4" spans="1:7" ht="15" customHeight="1" x14ac:dyDescent="0.25">
      <c r="A4" s="1"/>
      <c r="B4" s="101"/>
      <c r="C4" s="101"/>
      <c r="D4" s="101"/>
      <c r="E4" s="101"/>
      <c r="F4" s="101"/>
      <c r="G4" s="1"/>
    </row>
    <row r="5" spans="1:7" ht="15" customHeight="1" x14ac:dyDescent="0.25">
      <c r="A5" s="1"/>
      <c r="B5" s="65"/>
      <c r="C5" s="65"/>
      <c r="D5" s="65"/>
      <c r="E5" s="65"/>
      <c r="F5" s="65"/>
      <c r="G5" s="1"/>
    </row>
    <row r="6" spans="1:7" ht="15" customHeight="1" x14ac:dyDescent="0.25">
      <c r="A6" s="1"/>
      <c r="B6" s="1"/>
      <c r="C6" s="60"/>
      <c r="D6" s="61"/>
      <c r="E6" s="65"/>
      <c r="F6" s="65"/>
      <c r="G6" s="1"/>
    </row>
    <row r="7" spans="1:7" x14ac:dyDescent="0.25">
      <c r="A7" s="1"/>
      <c r="B7" s="1"/>
      <c r="C7" s="1"/>
      <c r="D7" s="1"/>
      <c r="E7" s="62"/>
      <c r="F7" s="1"/>
      <c r="G7" s="1"/>
    </row>
    <row r="8" spans="1:7" x14ac:dyDescent="0.25">
      <c r="A8" s="1"/>
      <c r="B8" s="102" t="s">
        <v>261</v>
      </c>
      <c r="C8" s="103"/>
      <c r="D8" s="103"/>
      <c r="E8" s="103"/>
      <c r="F8" s="104"/>
      <c r="G8" s="1"/>
    </row>
    <row r="9" spans="1:7" x14ac:dyDescent="0.25">
      <c r="A9" s="1"/>
      <c r="B9" s="105" t="s">
        <v>262</v>
      </c>
      <c r="C9" s="106"/>
      <c r="D9" s="107"/>
      <c r="E9" s="28">
        <v>-2113733</v>
      </c>
      <c r="F9" s="14" t="s">
        <v>3</v>
      </c>
      <c r="G9" s="1"/>
    </row>
    <row r="10" spans="1:7" x14ac:dyDescent="0.25">
      <c r="A10" s="1"/>
      <c r="B10" s="53"/>
      <c r="C10" s="54"/>
      <c r="D10" s="54"/>
      <c r="E10" s="54"/>
      <c r="F10" s="19"/>
      <c r="G10" s="1"/>
    </row>
    <row r="11" spans="1:7" ht="53.25" customHeight="1" x14ac:dyDescent="0.25">
      <c r="A11" s="1"/>
      <c r="B11" s="127" t="s">
        <v>263</v>
      </c>
      <c r="C11" s="128"/>
      <c r="D11" s="128"/>
      <c r="E11" s="128"/>
      <c r="F11" s="129"/>
      <c r="G11" s="1"/>
    </row>
    <row r="12" spans="1:7" x14ac:dyDescent="0.25">
      <c r="A12" s="1"/>
      <c r="B12" s="1"/>
      <c r="C12" s="1"/>
      <c r="D12" s="1"/>
      <c r="E12" s="1"/>
      <c r="F12" s="1"/>
      <c r="G12" s="1"/>
    </row>
    <row r="13" spans="1:7" x14ac:dyDescent="0.25">
      <c r="A13" s="1"/>
      <c r="B13" s="102" t="s">
        <v>140</v>
      </c>
      <c r="C13" s="103"/>
      <c r="D13" s="103"/>
      <c r="E13" s="103"/>
      <c r="F13" s="104"/>
      <c r="G13" s="1"/>
    </row>
    <row r="14" spans="1:7" x14ac:dyDescent="0.25">
      <c r="A14" s="1"/>
      <c r="B14" s="105" t="s">
        <v>264</v>
      </c>
      <c r="C14" s="106"/>
      <c r="D14" s="107"/>
      <c r="E14" s="9">
        <v>-1366265</v>
      </c>
      <c r="F14" s="14" t="s">
        <v>3</v>
      </c>
      <c r="G14" s="1"/>
    </row>
    <row r="15" spans="1:7" x14ac:dyDescent="0.25">
      <c r="A15" s="1"/>
      <c r="B15" s="105" t="s">
        <v>265</v>
      </c>
      <c r="C15" s="106"/>
      <c r="D15" s="107"/>
      <c r="E15" s="9">
        <v>-1366265</v>
      </c>
      <c r="F15" s="14" t="s">
        <v>3</v>
      </c>
      <c r="G15" s="1"/>
    </row>
    <row r="16" spans="1:7" x14ac:dyDescent="0.25">
      <c r="A16" s="1"/>
      <c r="B16" s="53"/>
      <c r="C16" s="54"/>
      <c r="D16" s="54"/>
      <c r="E16" s="54"/>
      <c r="F16" s="19"/>
      <c r="G16" s="1"/>
    </row>
    <row r="17" spans="1:7" ht="32.25" customHeight="1" x14ac:dyDescent="0.25">
      <c r="A17" s="1"/>
      <c r="B17" s="127" t="s">
        <v>266</v>
      </c>
      <c r="C17" s="128"/>
      <c r="D17" s="128"/>
      <c r="E17" s="128"/>
      <c r="F17" s="129"/>
      <c r="G17" s="1"/>
    </row>
    <row r="18" spans="1:7" x14ac:dyDescent="0.25">
      <c r="A18" s="1"/>
      <c r="B18" s="1"/>
      <c r="C18" s="1"/>
      <c r="D18" s="1"/>
      <c r="E18" s="1"/>
      <c r="F18" s="1"/>
      <c r="G18" s="1"/>
    </row>
    <row r="19" spans="1:7" x14ac:dyDescent="0.25">
      <c r="A19" s="1"/>
      <c r="B19" s="70" t="s">
        <v>267</v>
      </c>
      <c r="C19" s="71"/>
      <c r="D19" s="71"/>
      <c r="E19" s="71"/>
      <c r="F19" s="72"/>
      <c r="G19" s="1"/>
    </row>
    <row r="20" spans="1:7" x14ac:dyDescent="0.25">
      <c r="A20" s="1"/>
      <c r="B20" s="66" t="s">
        <v>268</v>
      </c>
      <c r="C20" s="67"/>
      <c r="D20" s="68"/>
      <c r="E20" s="9">
        <v>18256367</v>
      </c>
      <c r="F20" s="14" t="s">
        <v>3</v>
      </c>
      <c r="G20" s="1"/>
    </row>
    <row r="21" spans="1:7" x14ac:dyDescent="0.25">
      <c r="A21" s="1"/>
      <c r="B21" s="66" t="s">
        <v>269</v>
      </c>
      <c r="C21" s="67"/>
      <c r="D21" s="68"/>
      <c r="E21" s="9">
        <v>19313236</v>
      </c>
      <c r="F21" s="14" t="s">
        <v>3</v>
      </c>
      <c r="G21" s="1"/>
    </row>
    <row r="22" spans="1:7" x14ac:dyDescent="0.25">
      <c r="A22" s="1"/>
      <c r="B22" s="66" t="s">
        <v>29</v>
      </c>
      <c r="C22" s="67"/>
      <c r="D22" s="68"/>
      <c r="E22" s="9">
        <v>0</v>
      </c>
      <c r="F22" s="14" t="s">
        <v>3</v>
      </c>
      <c r="G22" s="1"/>
    </row>
    <row r="23" spans="1:7" x14ac:dyDescent="0.25">
      <c r="A23" s="1"/>
      <c r="B23" s="74" t="s">
        <v>270</v>
      </c>
      <c r="C23" s="75"/>
      <c r="D23" s="76"/>
      <c r="E23" s="10">
        <f>E20-(E21-E22)</f>
        <v>-1056869</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2" t="s">
        <v>271</v>
      </c>
      <c r="C26" s="103"/>
      <c r="D26" s="103"/>
      <c r="E26" s="103"/>
      <c r="F26" s="104"/>
      <c r="G26" s="1"/>
    </row>
    <row r="27" spans="1:7" x14ac:dyDescent="0.25">
      <c r="A27" s="1"/>
      <c r="B27" s="130" t="s">
        <v>272</v>
      </c>
      <c r="C27" s="131"/>
      <c r="D27" s="132"/>
      <c r="E27" s="63">
        <f>IF(AND(E15&lt;0,E23&gt;0,ABS(SUM(E14:E15))&lt;E23),ABS(E14),IF(AND(E15&lt;0,E23&gt;0,ABS(SUM(E14:E15))&gt;E23),SUM(E14,E23),0))</f>
        <v>0</v>
      </c>
      <c r="F27" s="17" t="s">
        <v>3</v>
      </c>
      <c r="G27" s="1"/>
    </row>
    <row r="28" spans="1:7" x14ac:dyDescent="0.25">
      <c r="A28" s="1"/>
      <c r="B28" s="102"/>
      <c r="C28" s="103"/>
      <c r="D28" s="103"/>
      <c r="E28" s="103"/>
      <c r="F28" s="104"/>
      <c r="G28" s="1"/>
    </row>
    <row r="29" spans="1:7" x14ac:dyDescent="0.25">
      <c r="A29" s="1"/>
      <c r="B29" s="1"/>
      <c r="C29" s="1"/>
      <c r="D29" s="1"/>
      <c r="E29" s="1"/>
      <c r="F29" s="1"/>
      <c r="G29" s="1"/>
    </row>
    <row r="30" spans="1:7" x14ac:dyDescent="0.25">
      <c r="A30" s="1"/>
      <c r="B30" s="102" t="s">
        <v>273</v>
      </c>
      <c r="C30" s="103"/>
      <c r="D30" s="103"/>
      <c r="E30" s="103"/>
      <c r="F30" s="104"/>
      <c r="G30" s="1"/>
    </row>
    <row r="31" spans="1:7" x14ac:dyDescent="0.25">
      <c r="A31" s="1"/>
      <c r="B31" s="120" t="s">
        <v>117</v>
      </c>
      <c r="C31" s="121"/>
      <c r="D31" s="122"/>
      <c r="E31" s="64">
        <f>IF(AND(E9&gt;0,(E9+E23)&gt;0),0,IF(AND(E9&gt;0,(E9+E23)&lt;0),(E9+E23),IF(AND(E9&lt;0,E23&lt;0),E23,0)))</f>
        <v>-1056869</v>
      </c>
      <c r="F31" s="14" t="s">
        <v>3</v>
      </c>
      <c r="G31" s="1"/>
    </row>
    <row r="32" spans="1:7" x14ac:dyDescent="0.25">
      <c r="A32" s="1"/>
      <c r="B32" s="120" t="s">
        <v>85</v>
      </c>
      <c r="C32" s="121"/>
      <c r="D32" s="122"/>
      <c r="E32" s="9">
        <v>2</v>
      </c>
      <c r="F32" s="14" t="s">
        <v>18</v>
      </c>
      <c r="G32" s="1"/>
    </row>
    <row r="33" spans="1:7" x14ac:dyDescent="0.25">
      <c r="A33" s="1"/>
      <c r="B33" s="123" t="s">
        <v>116</v>
      </c>
      <c r="C33" s="123"/>
      <c r="D33" s="123"/>
      <c r="E33" s="63">
        <f>E31/E32</f>
        <v>-528434.5</v>
      </c>
      <c r="F33" s="17" t="s">
        <v>3</v>
      </c>
      <c r="G33" s="1"/>
    </row>
    <row r="34" spans="1:7" x14ac:dyDescent="0.25">
      <c r="A34" s="1"/>
      <c r="B34" s="124"/>
      <c r="C34" s="125"/>
      <c r="D34" s="125"/>
      <c r="E34" s="125"/>
      <c r="F34" s="12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cAay9r8WumlCUhihMEsVI2H4wYfnt/OZSwGEfr0h8lNYTIMrnmwThfQyyxCj1PFq4/Xf+xuJNtNZwti1THrkQ==" saltValue="gZjT3nS48GVs0RxGFkzWNw=="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183</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2" t="s">
        <v>184</v>
      </c>
      <c r="C8" s="103"/>
      <c r="D8" s="103"/>
      <c r="E8" s="103"/>
      <c r="F8" s="103"/>
      <c r="G8" s="103"/>
      <c r="H8" s="104"/>
      <c r="I8" s="1"/>
    </row>
    <row r="9" spans="1:9" ht="15" customHeight="1" x14ac:dyDescent="0.25">
      <c r="A9" s="1"/>
      <c r="B9" s="133" t="s">
        <v>234</v>
      </c>
      <c r="C9" s="134"/>
      <c r="D9" s="134"/>
      <c r="E9" s="134"/>
      <c r="F9" s="134"/>
      <c r="G9" s="134"/>
      <c r="H9" s="135"/>
      <c r="I9" s="1"/>
    </row>
    <row r="10" spans="1:9" x14ac:dyDescent="0.25">
      <c r="A10" s="1"/>
      <c r="B10" s="136" t="s">
        <v>185</v>
      </c>
      <c r="C10" s="137"/>
      <c r="D10" s="137"/>
      <c r="E10" s="137"/>
      <c r="F10" s="138"/>
      <c r="G10" s="45">
        <v>0</v>
      </c>
      <c r="H10" s="9" t="s">
        <v>3</v>
      </c>
      <c r="I10" s="1"/>
    </row>
    <row r="11" spans="1:9" x14ac:dyDescent="0.25">
      <c r="A11" s="1"/>
      <c r="B11" s="136" t="s">
        <v>186</v>
      </c>
      <c r="C11" s="137"/>
      <c r="D11" s="137"/>
      <c r="E11" s="137"/>
      <c r="F11" s="138"/>
      <c r="G11" s="45">
        <v>0</v>
      </c>
      <c r="H11" s="9" t="s">
        <v>3</v>
      </c>
      <c r="I11" s="1"/>
    </row>
    <row r="12" spans="1:9" x14ac:dyDescent="0.25">
      <c r="A12" s="1"/>
      <c r="B12" s="136" t="s">
        <v>187</v>
      </c>
      <c r="C12" s="137"/>
      <c r="D12" s="137"/>
      <c r="E12" s="137"/>
      <c r="F12" s="138"/>
      <c r="G12" s="9">
        <v>-2480833.3333333302</v>
      </c>
      <c r="H12" s="9" t="s">
        <v>3</v>
      </c>
      <c r="I12" s="1"/>
    </row>
    <row r="13" spans="1:9" x14ac:dyDescent="0.25">
      <c r="A13" s="1"/>
      <c r="B13" s="136" t="s">
        <v>188</v>
      </c>
      <c r="C13" s="137"/>
      <c r="D13" s="137"/>
      <c r="E13" s="137"/>
      <c r="F13" s="138"/>
      <c r="G13" s="9">
        <v>-2480833.3333333302</v>
      </c>
      <c r="H13" s="9" t="s">
        <v>3</v>
      </c>
      <c r="I13" s="1"/>
    </row>
    <row r="14" spans="1:9" x14ac:dyDescent="0.25">
      <c r="A14" s="1"/>
      <c r="B14" s="136" t="s">
        <v>189</v>
      </c>
      <c r="C14" s="137"/>
      <c r="D14" s="137"/>
      <c r="E14" s="137"/>
      <c r="F14" s="138"/>
      <c r="G14" s="9">
        <v>-2480833.3333333302</v>
      </c>
      <c r="H14" s="9" t="s">
        <v>3</v>
      </c>
      <c r="I14" s="1"/>
    </row>
    <row r="15" spans="1:9" x14ac:dyDescent="0.25">
      <c r="A15" s="1"/>
      <c r="B15" s="136" t="s">
        <v>190</v>
      </c>
      <c r="C15" s="137"/>
      <c r="D15" s="137"/>
      <c r="E15" s="137"/>
      <c r="F15" s="138"/>
      <c r="G15" s="9">
        <v>-2480833.3333333302</v>
      </c>
      <c r="H15" s="9" t="s">
        <v>3</v>
      </c>
      <c r="I15" s="1"/>
    </row>
    <row r="16" spans="1:9" x14ac:dyDescent="0.25">
      <c r="A16" s="1"/>
      <c r="B16" s="136" t="s">
        <v>191</v>
      </c>
      <c r="C16" s="137"/>
      <c r="D16" s="137"/>
      <c r="E16" s="137"/>
      <c r="F16" s="138"/>
      <c r="G16" s="9">
        <v>-2480833.3333333302</v>
      </c>
      <c r="H16" s="9" t="s">
        <v>3</v>
      </c>
      <c r="I16" s="1"/>
    </row>
    <row r="17" spans="1:9" x14ac:dyDescent="0.25">
      <c r="A17" s="1"/>
      <c r="B17" s="136" t="s">
        <v>192</v>
      </c>
      <c r="C17" s="137"/>
      <c r="D17" s="137"/>
      <c r="E17" s="137"/>
      <c r="F17" s="138"/>
      <c r="G17" s="9">
        <v>-2480833.3333333302</v>
      </c>
      <c r="H17" s="9" t="s">
        <v>3</v>
      </c>
      <c r="I17" s="1"/>
    </row>
    <row r="18" spans="1:9" x14ac:dyDescent="0.25">
      <c r="A18" s="1"/>
      <c r="B18" s="102" t="s">
        <v>193</v>
      </c>
      <c r="C18" s="103"/>
      <c r="D18" s="103"/>
      <c r="E18" s="103"/>
      <c r="F18" s="104"/>
      <c r="G18" s="12">
        <f>SUM(G10:G17)</f>
        <v>-14884999.999999981</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RTeQcjs3dfevZIuihvHvuphxcUMoN1VCmDk+Ar23V9fbJn3z3aGN62RcDVQEHQzRox2xyobO+RGQlkvk2RQ77A==" saltValue="LiZ2u7uVzq+Xk1eM6yNr2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177</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2" t="s">
        <v>155</v>
      </c>
      <c r="C8" s="103"/>
      <c r="D8" s="103"/>
      <c r="E8" s="103"/>
      <c r="F8" s="103"/>
      <c r="G8" s="103"/>
      <c r="H8" s="103"/>
      <c r="I8" s="103"/>
      <c r="J8" s="103"/>
      <c r="K8" s="104"/>
      <c r="L8" s="1"/>
    </row>
    <row r="9" spans="1:12" ht="39.75" customHeight="1" x14ac:dyDescent="0.25">
      <c r="A9" s="1"/>
      <c r="B9" s="18" t="s">
        <v>0</v>
      </c>
      <c r="C9" s="18" t="s">
        <v>1</v>
      </c>
      <c r="D9" s="139" t="s">
        <v>170</v>
      </c>
      <c r="E9" s="140"/>
      <c r="F9" s="139" t="s">
        <v>2</v>
      </c>
      <c r="G9" s="140"/>
      <c r="H9" s="139" t="s">
        <v>171</v>
      </c>
      <c r="I9" s="140"/>
      <c r="J9" s="139" t="s">
        <v>26</v>
      </c>
      <c r="K9" s="140"/>
      <c r="L9" s="1"/>
    </row>
    <row r="10" spans="1:12" x14ac:dyDescent="0.25">
      <c r="A10" s="1"/>
      <c r="B10" s="79" t="s">
        <v>238</v>
      </c>
      <c r="C10" s="31">
        <v>0</v>
      </c>
      <c r="D10" s="9">
        <v>0</v>
      </c>
      <c r="E10" s="14" t="s">
        <v>3</v>
      </c>
      <c r="F10" s="57">
        <f>IFERROR(D10/C10,0)</f>
        <v>0</v>
      </c>
      <c r="G10" s="14" t="s">
        <v>3</v>
      </c>
      <c r="H10" s="9">
        <v>0</v>
      </c>
      <c r="I10" s="14" t="s">
        <v>3</v>
      </c>
      <c r="J10" s="9">
        <v>0</v>
      </c>
      <c r="K10" s="14" t="s">
        <v>3</v>
      </c>
      <c r="L10" s="1"/>
    </row>
    <row r="11" spans="1:12" x14ac:dyDescent="0.25">
      <c r="A11" s="1"/>
      <c r="B11" s="53" t="s">
        <v>215</v>
      </c>
      <c r="C11" s="54"/>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p3/xH8ISRzXDNQgS3wx0l/Z/SANQl8v+lXl81ptBnXuS+P7gzV0SfJfC6WcBMCIr9HGjn3gB9UZp5BQFd0pnTQ==" saltValue="35zvJbj6kAekFbFFpeWV/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178</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0</v>
      </c>
      <c r="D11" s="14" t="s">
        <v>3</v>
      </c>
      <c r="E11" s="9">
        <v>64609</v>
      </c>
      <c r="F11" s="14" t="s">
        <v>3</v>
      </c>
      <c r="G11" s="1"/>
    </row>
    <row r="12" spans="1:7" x14ac:dyDescent="0.25">
      <c r="A12" s="1"/>
      <c r="B12" s="27" t="s">
        <v>249</v>
      </c>
      <c r="C12" s="21">
        <v>13114</v>
      </c>
      <c r="D12" s="14" t="s">
        <v>3</v>
      </c>
      <c r="E12" s="9">
        <v>3829</v>
      </c>
      <c r="F12" s="14" t="s">
        <v>3</v>
      </c>
      <c r="G12" s="1"/>
    </row>
    <row r="13" spans="1:7" x14ac:dyDescent="0.25">
      <c r="A13" s="1"/>
      <c r="B13" s="27" t="s">
        <v>250</v>
      </c>
      <c r="C13" s="21">
        <v>1311</v>
      </c>
      <c r="D13" s="14" t="s">
        <v>3</v>
      </c>
      <c r="E13" s="9">
        <v>3859</v>
      </c>
      <c r="F13" s="14" t="s">
        <v>3</v>
      </c>
      <c r="G13" s="1"/>
    </row>
    <row r="14" spans="1:7" x14ac:dyDescent="0.25">
      <c r="A14" s="1"/>
      <c r="B14" s="27" t="s">
        <v>251</v>
      </c>
      <c r="C14" s="21">
        <v>34096</v>
      </c>
      <c r="D14" s="14" t="s">
        <v>3</v>
      </c>
      <c r="E14" s="9">
        <v>29350</v>
      </c>
      <c r="F14" s="14" t="s">
        <v>3</v>
      </c>
      <c r="G14" s="1"/>
    </row>
    <row r="15" spans="1:7" x14ac:dyDescent="0.25">
      <c r="A15" s="1"/>
      <c r="B15" s="27" t="s">
        <v>252</v>
      </c>
      <c r="C15" s="21">
        <v>0</v>
      </c>
      <c r="D15" s="14" t="s">
        <v>3</v>
      </c>
      <c r="E15" s="9">
        <v>7261</v>
      </c>
      <c r="F15" s="14" t="s">
        <v>3</v>
      </c>
      <c r="G15" s="1"/>
    </row>
    <row r="16" spans="1:7" x14ac:dyDescent="0.25">
      <c r="A16" s="1"/>
      <c r="B16" s="27" t="s">
        <v>253</v>
      </c>
      <c r="C16" s="21">
        <v>10491</v>
      </c>
      <c r="D16" s="14" t="s">
        <v>3</v>
      </c>
      <c r="E16" s="9">
        <v>8124</v>
      </c>
      <c r="F16" s="14" t="s">
        <v>3</v>
      </c>
      <c r="G16" s="1"/>
    </row>
    <row r="17" spans="1:7" x14ac:dyDescent="0.25">
      <c r="A17" s="1"/>
      <c r="B17" s="27" t="s">
        <v>254</v>
      </c>
      <c r="C17" s="21">
        <v>3934</v>
      </c>
      <c r="D17" s="14" t="s">
        <v>3</v>
      </c>
      <c r="E17" s="9">
        <v>5064</v>
      </c>
      <c r="F17" s="14" t="s">
        <v>3</v>
      </c>
      <c r="G17" s="1"/>
    </row>
    <row r="18" spans="1:7" x14ac:dyDescent="0.25">
      <c r="A18" s="1"/>
      <c r="B18" s="27" t="s">
        <v>255</v>
      </c>
      <c r="C18" s="21">
        <v>3278</v>
      </c>
      <c r="D18" s="14" t="s">
        <v>3</v>
      </c>
      <c r="E18" s="9">
        <v>1468</v>
      </c>
      <c r="F18" s="14" t="s">
        <v>3</v>
      </c>
      <c r="G18" s="1"/>
    </row>
    <row r="19" spans="1:7" x14ac:dyDescent="0.25">
      <c r="A19" s="1"/>
      <c r="B19" s="27" t="s">
        <v>256</v>
      </c>
      <c r="C19" s="21">
        <v>0</v>
      </c>
      <c r="D19" s="14" t="s">
        <v>3</v>
      </c>
      <c r="E19" s="9">
        <v>541</v>
      </c>
      <c r="F19" s="14" t="s">
        <v>3</v>
      </c>
      <c r="G19" s="1"/>
    </row>
    <row r="20" spans="1:7" x14ac:dyDescent="0.25">
      <c r="A20" s="1"/>
      <c r="B20" s="27" t="s">
        <v>257</v>
      </c>
      <c r="C20" s="21">
        <v>15081</v>
      </c>
      <c r="D20" s="14" t="s">
        <v>3</v>
      </c>
      <c r="E20" s="9">
        <v>14218</v>
      </c>
      <c r="F20" s="14" t="s">
        <v>3</v>
      </c>
      <c r="G20" s="1"/>
    </row>
    <row r="21" spans="1:7" x14ac:dyDescent="0.25">
      <c r="A21" s="1"/>
      <c r="B21" s="27" t="s">
        <v>258</v>
      </c>
      <c r="C21" s="21">
        <v>5901.17</v>
      </c>
      <c r="D21" s="14" t="s">
        <v>3</v>
      </c>
      <c r="E21" s="9">
        <v>3245.22</v>
      </c>
      <c r="F21" s="14" t="s">
        <v>3</v>
      </c>
      <c r="G21" s="1"/>
    </row>
    <row r="22" spans="1:7" x14ac:dyDescent="0.25">
      <c r="A22" s="1"/>
      <c r="B22" s="27" t="s">
        <v>260</v>
      </c>
      <c r="C22" s="21">
        <v>29952</v>
      </c>
      <c r="D22" s="14" t="s">
        <v>3</v>
      </c>
      <c r="E22" s="9">
        <v>114550</v>
      </c>
      <c r="F22" s="14" t="s">
        <v>3</v>
      </c>
      <c r="G22" s="1"/>
    </row>
    <row r="23" spans="1:7" x14ac:dyDescent="0.25">
      <c r="A23" s="1"/>
      <c r="B23" s="27"/>
      <c r="C23" s="21"/>
      <c r="D23" s="14" t="s">
        <v>3</v>
      </c>
      <c r="E23" s="9"/>
      <c r="F23" s="14" t="s">
        <v>3</v>
      </c>
      <c r="G23" s="1"/>
    </row>
    <row r="24" spans="1:7" x14ac:dyDescent="0.25">
      <c r="A24" s="1"/>
      <c r="B24" s="53" t="s">
        <v>151</v>
      </c>
      <c r="C24" s="12">
        <f>SUM(C10:C23)</f>
        <v>117158.17</v>
      </c>
      <c r="D24" s="13" t="s">
        <v>3</v>
      </c>
      <c r="E24" s="12">
        <f>SUM(E10:E23)</f>
        <v>256118.22</v>
      </c>
      <c r="F24" s="13" t="s">
        <v>3</v>
      </c>
      <c r="G24" s="1"/>
    </row>
    <row r="25" spans="1:7" x14ac:dyDescent="0.25">
      <c r="A25" s="1"/>
      <c r="B25" s="53" t="s">
        <v>209</v>
      </c>
      <c r="C25" s="12">
        <f>C24*(1+'Fane 13. Nøgletal'!C16)</f>
        <v>126624.55013599999</v>
      </c>
      <c r="D25" s="13" t="s">
        <v>3</v>
      </c>
      <c r="E25" s="12">
        <f>E24*(1+'Fane 13. Nøgletal'!C16)</f>
        <v>276812.57217599999</v>
      </c>
      <c r="F25" s="13" t="s">
        <v>3</v>
      </c>
      <c r="G25" s="1"/>
    </row>
    <row r="26" spans="1:7" x14ac:dyDescent="0.25">
      <c r="A26" s="1"/>
      <c r="B26" s="1"/>
      <c r="C26" s="1" t="s">
        <v>168</v>
      </c>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FD5gGOlj0Yin0gv57lmA+mCcijTwyXBN4o3hmc0TTGcri/7QicX/5jIT1uLZ1zgW7AGXPq6DA2XFIqFVW93tgg==" saltValue="71uZbEY3fqUwQtYsxKI7c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179</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2" t="s">
        <v>217</v>
      </c>
      <c r="C9" s="103"/>
      <c r="D9" s="103"/>
      <c r="E9" s="103"/>
      <c r="F9" s="104"/>
      <c r="G9" s="1"/>
    </row>
    <row r="10" spans="1:7" ht="26.25" x14ac:dyDescent="0.25">
      <c r="A10" s="1"/>
      <c r="B10" s="77" t="s">
        <v>15</v>
      </c>
      <c r="C10" s="77" t="s">
        <v>10</v>
      </c>
      <c r="D10" s="78"/>
      <c r="E10" s="77" t="s">
        <v>27</v>
      </c>
      <c r="F10" s="30"/>
      <c r="G10" s="1"/>
    </row>
    <row r="11" spans="1:7" x14ac:dyDescent="0.25">
      <c r="A11" s="1"/>
      <c r="B11" s="23" t="s">
        <v>259</v>
      </c>
      <c r="C11" s="21">
        <v>31617</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3" t="s">
        <v>218</v>
      </c>
      <c r="C14" s="12">
        <f>SUM(C11:C13)</f>
        <v>31617</v>
      </c>
      <c r="D14" s="13" t="s">
        <v>3</v>
      </c>
      <c r="E14" s="12">
        <f>SUM(E11:E13)</f>
        <v>0</v>
      </c>
      <c r="F14" s="13" t="s">
        <v>3</v>
      </c>
      <c r="G14" s="1"/>
    </row>
    <row r="15" spans="1:7" x14ac:dyDescent="0.25">
      <c r="A15" s="1"/>
      <c r="B15" s="53" t="s">
        <v>219</v>
      </c>
      <c r="C15" s="12">
        <f>C14*(1+'Fane 13. Nøgletal'!$C$16)^2</f>
        <v>36932.723210880002</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CZHI78ArS0dgppNeamPf1XMJ27Mn3CwmblIyn1PVszmW/Z5YBgoZLyzZs8rnokMhP24+zxkxmhfjGkcXhEsg==" saltValue="Ir0rz8PwoMO6okx2+ZFiJ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180</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2" t="s">
        <v>104</v>
      </c>
      <c r="C8" s="103"/>
      <c r="D8" s="103"/>
      <c r="E8" s="103"/>
      <c r="F8" s="104"/>
      <c r="G8" s="1"/>
    </row>
    <row r="9" spans="1:7" ht="15" customHeight="1" x14ac:dyDescent="0.25">
      <c r="A9" s="1"/>
      <c r="B9" s="55" t="s">
        <v>105</v>
      </c>
      <c r="C9" s="133" t="s">
        <v>10</v>
      </c>
      <c r="D9" s="135"/>
      <c r="E9" s="133" t="s">
        <v>27</v>
      </c>
      <c r="F9" s="135"/>
      <c r="G9" s="1"/>
    </row>
    <row r="10" spans="1:7" ht="26.25" x14ac:dyDescent="0.25">
      <c r="A10" s="1"/>
      <c r="B10" s="59"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44yitMhPaNel+2u5VFQqZ5TFjOR/csPSrQTj1B6EPsaXI7w1NJgJ5bZBisN09ZNUxNxfPGXN8AXfSV4SdjoXg==" saltValue="8Ziv4pw9v3YWpn+WQPgxv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181</v>
      </c>
      <c r="C3" s="101"/>
      <c r="D3" s="101"/>
      <c r="E3" s="101"/>
      <c r="F3" s="101"/>
      <c r="G3" s="1"/>
    </row>
    <row r="4" spans="1:7" ht="25.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2" t="s">
        <v>237</v>
      </c>
      <c r="C10" s="103"/>
      <c r="D10" s="103"/>
      <c r="E10" s="103"/>
      <c r="F10" s="104"/>
      <c r="G10" s="1"/>
    </row>
    <row r="11" spans="1:7" ht="26.25" x14ac:dyDescent="0.25">
      <c r="A11" s="1"/>
      <c r="B11" s="55" t="s">
        <v>16</v>
      </c>
      <c r="C11" s="55" t="s">
        <v>10</v>
      </c>
      <c r="D11" s="30"/>
      <c r="E11" s="55" t="s">
        <v>27</v>
      </c>
      <c r="F11" s="30"/>
      <c r="G11" s="1"/>
    </row>
    <row r="12" spans="1:7" x14ac:dyDescent="0.25">
      <c r="A12" s="1"/>
      <c r="B12" s="59" t="s">
        <v>242</v>
      </c>
      <c r="C12" s="9">
        <v>0</v>
      </c>
      <c r="D12" s="14" t="s">
        <v>3</v>
      </c>
      <c r="E12" s="9">
        <v>0</v>
      </c>
      <c r="F12" s="14" t="s">
        <v>3</v>
      </c>
      <c r="G12" s="1"/>
    </row>
    <row r="13" spans="1:7" x14ac:dyDescent="0.25">
      <c r="A13" s="1"/>
      <c r="B13" s="53" t="s">
        <v>78</v>
      </c>
      <c r="C13" s="12">
        <f>SUM(C12:C12)</f>
        <v>0</v>
      </c>
      <c r="D13" s="13" t="s">
        <v>3</v>
      </c>
      <c r="E13" s="12">
        <f>SUM(E12:E12)</f>
        <v>0</v>
      </c>
      <c r="F13" s="13" t="s">
        <v>3</v>
      </c>
      <c r="G13" s="1"/>
    </row>
    <row r="14" spans="1:7" x14ac:dyDescent="0.25">
      <c r="A14" s="1"/>
      <c r="B14" s="53"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jo/l7cjJSF0kxSN7S2B0WHcDIf498QIFxS5aAvgz7CHkkG4EsW+rGK92+PcLkLvs1aLoLlgeRavUp0vRoCWqw==" saltValue="aJrm8l730tApFilgy/o7H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1" t="s">
        <v>182</v>
      </c>
      <c r="C3" s="101"/>
      <c r="D3" s="1"/>
    </row>
    <row r="4" spans="1:4" ht="25.5" customHeight="1" x14ac:dyDescent="0.25">
      <c r="A4" s="1"/>
      <c r="B4" s="101"/>
      <c r="C4" s="101"/>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9" t="s">
        <v>93</v>
      </c>
      <c r="C9" s="40">
        <v>1.2699999999999999E-2</v>
      </c>
      <c r="D9" s="1"/>
    </row>
    <row r="10" spans="1:4" x14ac:dyDescent="0.25">
      <c r="A10" s="1"/>
      <c r="B10" s="69" t="s">
        <v>21</v>
      </c>
      <c r="C10" s="40">
        <v>1.7500000000000002E-2</v>
      </c>
      <c r="D10" s="1"/>
    </row>
    <row r="11" spans="1:4" x14ac:dyDescent="0.25">
      <c r="A11" s="1"/>
      <c r="B11" s="69"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2"/>
      <c r="C17" s="104"/>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9" t="s">
        <v>95</v>
      </c>
      <c r="C21" s="42">
        <v>9.1000000000000004E-3</v>
      </c>
      <c r="D21" s="1"/>
    </row>
    <row r="22" spans="1:4" x14ac:dyDescent="0.25">
      <c r="A22" s="1"/>
      <c r="B22" s="69" t="s">
        <v>96</v>
      </c>
      <c r="C22" s="42">
        <v>1.77E-2</v>
      </c>
      <c r="D22" s="1"/>
    </row>
    <row r="23" spans="1:4" x14ac:dyDescent="0.25">
      <c r="A23" s="1"/>
      <c r="B23" s="69" t="s">
        <v>97</v>
      </c>
      <c r="C23" s="42">
        <v>8.6999999999999994E-3</v>
      </c>
      <c r="D23" s="1"/>
    </row>
    <row r="24" spans="1:4" x14ac:dyDescent="0.25">
      <c r="A24" s="1"/>
      <c r="B24" s="69" t="s">
        <v>98</v>
      </c>
      <c r="C24" s="42">
        <v>2.8400000000000002E-2</v>
      </c>
      <c r="D24" s="1"/>
    </row>
    <row r="25" spans="1:4" x14ac:dyDescent="0.25">
      <c r="A25" s="1"/>
      <c r="B25" s="69" t="s">
        <v>111</v>
      </c>
      <c r="C25" s="42">
        <v>2.75E-2</v>
      </c>
      <c r="D25" s="1"/>
    </row>
    <row r="26" spans="1:4" x14ac:dyDescent="0.25">
      <c r="A26" s="1"/>
      <c r="B26" s="69"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9"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WMXOXJIcd1tUkmdTihpfDRLi8nierKvHP0LYkSFi4qCj2xUlhofbMnm4U5+ezMlYCWt5UwtTeIpHBH1x9p1LXA==" saltValue="8+55VQairgyufuet6Wt4y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198</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11521394.526286827</v>
      </c>
      <c r="D8" s="8" t="s">
        <v>3</v>
      </c>
      <c r="E8" s="1"/>
    </row>
    <row r="9" spans="1:5" ht="17.100000000000001" customHeight="1" x14ac:dyDescent="0.25">
      <c r="A9" s="1"/>
      <c r="B9" s="24" t="s">
        <v>33</v>
      </c>
      <c r="C9" s="7">
        <f>'Fane 10.1. Varige tillæg'!C25</f>
        <v>126624.55013599999</v>
      </c>
      <c r="D9" s="8" t="s">
        <v>3</v>
      </c>
      <c r="E9" s="1"/>
    </row>
    <row r="10" spans="1:5" ht="17.100000000000001" customHeight="1" x14ac:dyDescent="0.25">
      <c r="A10" s="1"/>
      <c r="B10" s="24" t="s">
        <v>34</v>
      </c>
      <c r="C10" s="9">
        <f>'Fane 10.1. Varige tillæg'!E25</f>
        <v>276812.57217599999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442759.36461862066</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-119853.41957622646</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12247737.593641222</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10222951.385064319</v>
      </c>
      <c r="D21" s="11" t="s">
        <v>3</v>
      </c>
      <c r="E21" s="1"/>
    </row>
    <row r="22" spans="1:5" ht="15" customHeight="1" x14ac:dyDescent="0.25">
      <c r="A22" s="1"/>
      <c r="B22" s="53" t="s">
        <v>75</v>
      </c>
      <c r="C22" s="54"/>
      <c r="D22" s="19"/>
      <c r="E22" s="1"/>
    </row>
    <row r="23" spans="1:5" ht="15" customHeight="1" x14ac:dyDescent="0.25">
      <c r="A23" s="1"/>
      <c r="B23" s="24" t="s">
        <v>71</v>
      </c>
      <c r="C23" s="9">
        <f>'Fane 10.2. Engangstillæg'!C15</f>
        <v>36932.723210880002</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-738.65446421760009</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49">
        <f>SUM(C23:C26)</f>
        <v>36194.0687466624</v>
      </c>
      <c r="D27" s="11" t="s">
        <v>3</v>
      </c>
      <c r="E27" s="1"/>
    </row>
    <row r="28" spans="1:5" ht="15" customHeight="1" x14ac:dyDescent="0.25">
      <c r="A28" s="1"/>
      <c r="B28" s="26" t="s">
        <v>117</v>
      </c>
      <c r="C28" s="54"/>
      <c r="D28" s="19"/>
      <c r="E28" s="1"/>
    </row>
    <row r="29" spans="1:5" x14ac:dyDescent="0.25">
      <c r="A29" s="1"/>
      <c r="B29" s="73" t="s">
        <v>118</v>
      </c>
      <c r="C29" s="10">
        <f>'Fane 7. Kontrol af ØR2022'!E15</f>
        <v>-1366265</v>
      </c>
      <c r="D29" s="11" t="s">
        <v>3</v>
      </c>
      <c r="E29" s="1"/>
    </row>
    <row r="30" spans="1:5" x14ac:dyDescent="0.25">
      <c r="A30" s="1"/>
      <c r="B30" s="26" t="s">
        <v>138</v>
      </c>
      <c r="C30" s="54"/>
      <c r="D30" s="19"/>
      <c r="E30" s="1"/>
    </row>
    <row r="31" spans="1:5" x14ac:dyDescent="0.25">
      <c r="A31" s="1"/>
      <c r="B31" s="73" t="s">
        <v>139</v>
      </c>
      <c r="C31" s="10">
        <f>'Fane 8. Skattesagen'!G13</f>
        <v>-2480833.3333333302</v>
      </c>
      <c r="D31" s="11" t="s">
        <v>3</v>
      </c>
      <c r="E31" s="1"/>
    </row>
    <row r="32" spans="1:5" x14ac:dyDescent="0.25">
      <c r="A32" s="1"/>
      <c r="B32" s="53" t="s">
        <v>126</v>
      </c>
      <c r="C32" s="33">
        <f>SUM(C19,C21,C27,C29,C31)</f>
        <v>18659784.714118876</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eF77SdQAyolU+rbMo7WhtIsdDHaNQ9/SzxWybOqq3EIJUQRNk7B76bsaVCpxDUS9HZpfpQJKWZAVG7Dxfy1Lg==" saltValue="f/+lUYyRwaoqFccrMHaj6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199</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12247737.593641222</v>
      </c>
      <c r="D8" s="8" t="s">
        <v>3</v>
      </c>
      <c r="E8" s="1"/>
    </row>
    <row r="9" spans="1:5" ht="15" customHeight="1" x14ac:dyDescent="0.25">
      <c r="A9" s="1"/>
      <c r="B9" s="29" t="s">
        <v>17</v>
      </c>
      <c r="C9" s="9">
        <f>SUM(C8:C8)*'Fane 13. Nøgletal'!C16</f>
        <v>989617.19756621064</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-126946.82436042585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13110407.966847006</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11048965.856977515</v>
      </c>
      <c r="D15" s="11" t="s">
        <v>3</v>
      </c>
      <c r="E15" s="1"/>
    </row>
    <row r="16" spans="1:5" x14ac:dyDescent="0.25">
      <c r="A16" s="1"/>
      <c r="B16" s="26" t="s">
        <v>117</v>
      </c>
      <c r="C16" s="54"/>
      <c r="D16" s="19"/>
      <c r="E16" s="1"/>
    </row>
    <row r="17" spans="1:5" ht="15" customHeight="1" x14ac:dyDescent="0.25">
      <c r="A17" s="1"/>
      <c r="B17" s="73" t="s">
        <v>118</v>
      </c>
      <c r="C17" s="10">
        <f>'Fane 7. Kontrol af ØR2022'!E33</f>
        <v>-528434.5</v>
      </c>
      <c r="D17" s="11" t="s">
        <v>3</v>
      </c>
      <c r="E17" s="1"/>
    </row>
    <row r="18" spans="1:5" x14ac:dyDescent="0.25">
      <c r="A18" s="1"/>
      <c r="B18" s="26" t="s">
        <v>138</v>
      </c>
      <c r="C18" s="54"/>
      <c r="D18" s="19"/>
      <c r="E18" s="1"/>
    </row>
    <row r="19" spans="1:5" x14ac:dyDescent="0.25">
      <c r="A19" s="1"/>
      <c r="B19" s="73" t="s">
        <v>139</v>
      </c>
      <c r="C19" s="10">
        <f>'Fane 8. Skattesagen'!G13</f>
        <v>-2480833.3333333302</v>
      </c>
      <c r="D19" s="11" t="s">
        <v>3</v>
      </c>
      <c r="E19" s="1"/>
    </row>
    <row r="20" spans="1:5" x14ac:dyDescent="0.25">
      <c r="A20" s="1"/>
      <c r="B20" s="53" t="s">
        <v>128</v>
      </c>
      <c r="C20" s="12">
        <f>SUM(C13,C15,C17,C19)</f>
        <v>21150105.990491189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CeDXeXHn4Xko3U8J59bvEPBMb2nq+RkAB5IFjXlxU7AhE/1U9h6OzUuDUApxOrUpxQARCN7kEGMsQnu8sM0bg==" saltValue="jtQ/XytyJrKzr/Vamc+se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200</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13110407.966847006</v>
      </c>
      <c r="D8" s="8" t="s">
        <v>3</v>
      </c>
      <c r="E8" s="1"/>
    </row>
    <row r="9" spans="1:5" ht="15" customHeight="1" x14ac:dyDescent="0.25">
      <c r="A9" s="1"/>
      <c r="B9" s="29" t="s">
        <v>17</v>
      </c>
      <c r="C9" s="9">
        <f>SUM(C8:C8)*'Fane 13. Nøgletal'!C16</f>
        <v>1059320.9637212381</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-134460.04521337329</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14035268.885354871</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11941722.298221298</v>
      </c>
      <c r="D15" s="11" t="s">
        <v>3</v>
      </c>
      <c r="E15" s="1"/>
    </row>
    <row r="16" spans="1:5" x14ac:dyDescent="0.25">
      <c r="A16" s="1"/>
      <c r="B16" s="53" t="s">
        <v>117</v>
      </c>
      <c r="C16" s="54"/>
      <c r="D16" s="19"/>
      <c r="E16" s="1"/>
    </row>
    <row r="17" spans="1:5" x14ac:dyDescent="0.25">
      <c r="A17" s="1"/>
      <c r="B17" s="55" t="s">
        <v>118</v>
      </c>
      <c r="C17" s="10">
        <f>'Fane 7. Kontrol af ØR2022'!E33</f>
        <v>-528434.5</v>
      </c>
      <c r="D17" s="11" t="s">
        <v>3</v>
      </c>
      <c r="E17" s="1"/>
    </row>
    <row r="18" spans="1:5" ht="15" customHeight="1" x14ac:dyDescent="0.25">
      <c r="A18" s="1"/>
      <c r="B18" s="26" t="s">
        <v>138</v>
      </c>
      <c r="C18" s="54"/>
      <c r="D18" s="19"/>
      <c r="E18" s="1"/>
    </row>
    <row r="19" spans="1:5" ht="15" customHeight="1" x14ac:dyDescent="0.25">
      <c r="A19" s="1"/>
      <c r="B19" s="73" t="s">
        <v>139</v>
      </c>
      <c r="C19" s="10">
        <f>'Fane 8. Skattesagen'!G14</f>
        <v>-2480833.3333333302</v>
      </c>
      <c r="D19" s="11" t="s">
        <v>3</v>
      </c>
      <c r="E19" s="1"/>
    </row>
    <row r="20" spans="1:5" x14ac:dyDescent="0.25">
      <c r="A20" s="1"/>
      <c r="B20" s="53" t="s">
        <v>143</v>
      </c>
      <c r="C20" s="12">
        <f>SUM(C13,C15,C17,C19)</f>
        <v>22967723.350242838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xRK8Tee7umo25fIrWmCKF3vKCrW9CMGDnE4D0KubQMgYQP4iWomAjL54luVqfpQmoz8ae5oIcQDI+hGKkvJag==" saltValue="dFzIMjh23gZoVpHxWv4mz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204</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14035268.885354871</v>
      </c>
      <c r="D8" s="8" t="s">
        <v>3</v>
      </c>
      <c r="E8" s="1"/>
    </row>
    <row r="9" spans="1:5" ht="15" customHeight="1" x14ac:dyDescent="0.25">
      <c r="A9" s="1"/>
      <c r="B9" s="29" t="s">
        <v>17</v>
      </c>
      <c r="C9" s="9">
        <f>SUM(C8:C8)*'Fane 13. Nøgletal'!C16</f>
        <v>1134049.7259366736</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-142417.92852928158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15026900.682762263</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12906613.459917579</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3" t="s">
        <v>139</v>
      </c>
      <c r="C19" s="10">
        <f>'Fane 8. Skattesagen'!G15</f>
        <v>-2480833.3333333302</v>
      </c>
      <c r="D19" s="11" t="s">
        <v>3</v>
      </c>
      <c r="E19" s="1"/>
    </row>
    <row r="20" spans="1:5" x14ac:dyDescent="0.25">
      <c r="A20" s="1"/>
      <c r="B20" s="53" t="s">
        <v>205</v>
      </c>
      <c r="C20" s="12">
        <f>SUM(C13,C15,C17,C19)</f>
        <v>25452680.809346512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kL4Fqg6qy67eQmZN8J+4nsJWoF+L3APJmAJGnOOBOUqbahxWUZZtbxfLIvTLal02CSKmX6pJLxeV7+y+Feywg==" saltValue="Uy+xEkF0Nr0rNDzc4RPHB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1" t="s">
        <v>201</v>
      </c>
      <c r="C3" s="101"/>
      <c r="D3" s="101"/>
      <c r="E3" s="1"/>
    </row>
    <row r="4" spans="1:5"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11217309.200999817</v>
      </c>
      <c r="D8" s="8" t="s">
        <v>3</v>
      </c>
      <c r="E8" s="1"/>
    </row>
    <row r="9" spans="1:5" x14ac:dyDescent="0.25">
      <c r="A9" s="1"/>
      <c r="B9" s="24" t="s">
        <v>33</v>
      </c>
      <c r="C9" s="7">
        <v>832.62240000000008</v>
      </c>
      <c r="D9" s="8" t="s">
        <v>3</v>
      </c>
      <c r="E9" s="1"/>
    </row>
    <row r="10" spans="1:5" x14ac:dyDescent="0.25">
      <c r="A10" s="1"/>
      <c r="B10" s="24" t="s">
        <v>34</v>
      </c>
      <c r="C10" s="9">
        <v>18622.159200000002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400028.79778055346</v>
      </c>
      <c r="D15" s="8" t="s">
        <v>3</v>
      </c>
      <c r="E15" s="1"/>
    </row>
    <row r="16" spans="1:5" x14ac:dyDescent="0.25">
      <c r="A16" s="1"/>
      <c r="B16" s="24" t="s">
        <v>9</v>
      </c>
      <c r="C16" s="9">
        <v>0</v>
      </c>
      <c r="D16" s="8" t="s">
        <v>3</v>
      </c>
      <c r="E16" s="1"/>
    </row>
    <row r="17" spans="1:5" x14ac:dyDescent="0.25">
      <c r="A17" s="1"/>
      <c r="B17" s="24" t="s">
        <v>22</v>
      </c>
      <c r="C17" s="9">
        <v>-115398.25409354203</v>
      </c>
      <c r="D17" s="8" t="s">
        <v>3</v>
      </c>
      <c r="E17" s="1"/>
    </row>
    <row r="18" spans="1:5" x14ac:dyDescent="0.25">
      <c r="A18" s="1"/>
      <c r="B18" s="24" t="s">
        <v>23</v>
      </c>
      <c r="C18" s="9">
        <v>0</v>
      </c>
      <c r="D18" s="8" t="s">
        <v>3</v>
      </c>
      <c r="E18" s="1"/>
    </row>
    <row r="19" spans="1:5" x14ac:dyDescent="0.25">
      <c r="A19" s="1"/>
      <c r="B19" s="74" t="s">
        <v>19</v>
      </c>
      <c r="C19" s="10">
        <v>11521394.526286827</v>
      </c>
      <c r="D19" s="11" t="s">
        <v>3</v>
      </c>
      <c r="E19" s="1"/>
    </row>
    <row r="20" spans="1:5" x14ac:dyDescent="0.25">
      <c r="A20" s="1"/>
      <c r="B20" s="53" t="s">
        <v>11</v>
      </c>
      <c r="C20" s="54"/>
      <c r="D20" s="19"/>
      <c r="E20" s="1"/>
    </row>
    <row r="21" spans="1:5" x14ac:dyDescent="0.25">
      <c r="A21" s="1"/>
      <c r="B21" s="55" t="s">
        <v>11</v>
      </c>
      <c r="C21" s="10">
        <v>9651110.1783580817</v>
      </c>
      <c r="D21" s="11" t="s">
        <v>3</v>
      </c>
      <c r="E21" s="1"/>
    </row>
    <row r="22" spans="1:5" x14ac:dyDescent="0.25">
      <c r="A22" s="1"/>
      <c r="B22" s="53" t="s">
        <v>75</v>
      </c>
      <c r="C22" s="54"/>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4" t="s">
        <v>76</v>
      </c>
      <c r="C27" s="58">
        <v>0</v>
      </c>
      <c r="D27" s="11" t="s">
        <v>3</v>
      </c>
      <c r="E27" s="1"/>
    </row>
    <row r="28" spans="1:5" x14ac:dyDescent="0.25">
      <c r="A28" s="1"/>
      <c r="B28" s="26" t="s">
        <v>117</v>
      </c>
      <c r="C28" s="54"/>
      <c r="D28" s="19"/>
      <c r="E28" s="1"/>
    </row>
    <row r="29" spans="1:5" x14ac:dyDescent="0.25">
      <c r="A29" s="1"/>
      <c r="B29" s="73" t="s">
        <v>118</v>
      </c>
      <c r="C29" s="10">
        <v>-1366265.0439844525</v>
      </c>
      <c r="D29" s="11" t="s">
        <v>3</v>
      </c>
      <c r="E29" s="1"/>
    </row>
    <row r="30" spans="1:5" x14ac:dyDescent="0.25">
      <c r="A30" s="1"/>
      <c r="B30" s="26" t="s">
        <v>138</v>
      </c>
      <c r="C30" s="54"/>
      <c r="D30" s="19"/>
      <c r="E30" s="1"/>
    </row>
    <row r="31" spans="1:5" x14ac:dyDescent="0.25">
      <c r="A31" s="1"/>
      <c r="B31" s="73" t="s">
        <v>139</v>
      </c>
      <c r="C31" s="10">
        <v>-2480833.3333333302</v>
      </c>
      <c r="D31" s="11" t="s">
        <v>3</v>
      </c>
      <c r="E31" s="1"/>
    </row>
    <row r="32" spans="1:5" x14ac:dyDescent="0.25">
      <c r="A32" s="1"/>
      <c r="B32" s="53" t="s">
        <v>239</v>
      </c>
      <c r="C32" s="33">
        <v>17325406.327327125</v>
      </c>
      <c r="D32" s="19" t="s">
        <v>3</v>
      </c>
      <c r="E32" s="1"/>
    </row>
    <row r="33" spans="1:5" ht="30" customHeight="1" x14ac:dyDescent="0.25">
      <c r="A33" s="1"/>
      <c r="B33" s="100" t="s">
        <v>240</v>
      </c>
      <c r="C33" s="100"/>
      <c r="D33" s="100"/>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lviFcl3XXuQXN1TCKGY6XHv+t/dp7N4s5m4yItD2nOaXLWqfWwuommiJ8ptfIF62ZDZQjWpO2rYSA8MjnzVNw==" saltValue="MzaU7btUjXEPa12Ub11Dm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1" t="s">
        <v>90</v>
      </c>
      <c r="C1" s="101"/>
      <c r="D1" s="101"/>
      <c r="E1" s="101"/>
      <c r="F1" s="101"/>
      <c r="G1" s="101"/>
      <c r="H1" s="101"/>
      <c r="I1" s="1"/>
    </row>
    <row r="2" spans="1:9" ht="15" customHeight="1" x14ac:dyDescent="0.25">
      <c r="A2" s="1"/>
      <c r="B2" s="101"/>
      <c r="C2" s="101"/>
      <c r="D2" s="101"/>
      <c r="E2" s="101"/>
      <c r="F2" s="101"/>
      <c r="G2" s="101"/>
      <c r="H2" s="101"/>
      <c r="I2" s="1"/>
    </row>
    <row r="3" spans="1:9" ht="15" customHeight="1" x14ac:dyDescent="0.25">
      <c r="A3" s="1"/>
      <c r="B3" s="101"/>
      <c r="C3" s="101"/>
      <c r="D3" s="101"/>
      <c r="E3" s="101"/>
      <c r="F3" s="101"/>
      <c r="G3" s="101"/>
      <c r="H3" s="101"/>
      <c r="I3" s="1"/>
    </row>
    <row r="4" spans="1:9" x14ac:dyDescent="0.25">
      <c r="A4" s="1"/>
      <c r="B4" s="102" t="s">
        <v>44</v>
      </c>
      <c r="C4" s="103"/>
      <c r="D4" s="103"/>
      <c r="E4" s="103"/>
      <c r="F4" s="103"/>
      <c r="G4" s="103"/>
      <c r="H4" s="104"/>
      <c r="I4" s="1"/>
    </row>
    <row r="5" spans="1:9" x14ac:dyDescent="0.25">
      <c r="A5" s="1"/>
      <c r="B5" s="105" t="s">
        <v>36</v>
      </c>
      <c r="C5" s="106"/>
      <c r="D5" s="106"/>
      <c r="E5" s="106"/>
      <c r="F5" s="107"/>
      <c r="G5" s="47">
        <v>5809612.7580742743</v>
      </c>
      <c r="H5" s="14" t="s">
        <v>3</v>
      </c>
      <c r="I5" s="1"/>
    </row>
    <row r="6" spans="1:9" x14ac:dyDescent="0.25">
      <c r="A6" s="1"/>
      <c r="B6" s="105" t="s">
        <v>37</v>
      </c>
      <c r="C6" s="106"/>
      <c r="D6" s="106"/>
      <c r="E6" s="106"/>
      <c r="F6" s="107"/>
      <c r="G6" s="22">
        <f>G5*'Fane 13. Nøgletal'!C33</f>
        <v>116192.25516148549</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2" t="s">
        <v>45</v>
      </c>
      <c r="C9" s="103"/>
      <c r="D9" s="103"/>
      <c r="E9" s="103"/>
      <c r="F9" s="103"/>
      <c r="G9" s="103"/>
      <c r="H9" s="104"/>
      <c r="I9" s="1"/>
    </row>
    <row r="10" spans="1:9" x14ac:dyDescent="0.25">
      <c r="A10" s="1"/>
      <c r="B10" s="105" t="s">
        <v>38</v>
      </c>
      <c r="C10" s="106"/>
      <c r="D10" s="106"/>
      <c r="E10" s="106"/>
      <c r="F10" s="107"/>
      <c r="G10" s="22">
        <f>(G5-G6)*(1+'Fane 13. Nøgletal'!C9)</f>
        <v>5765726.9432997806</v>
      </c>
      <c r="H10" s="14" t="s">
        <v>3</v>
      </c>
      <c r="I10" s="1"/>
    </row>
    <row r="11" spans="1:9" x14ac:dyDescent="0.25">
      <c r="A11" s="1"/>
      <c r="B11" s="108" t="s">
        <v>228</v>
      </c>
      <c r="C11" s="109"/>
      <c r="D11" s="109"/>
      <c r="E11" s="109"/>
      <c r="F11" s="110"/>
      <c r="G11" s="47">
        <v>0</v>
      </c>
      <c r="H11" s="14" t="s">
        <v>3</v>
      </c>
      <c r="I11" s="1"/>
    </row>
    <row r="12" spans="1:9" x14ac:dyDescent="0.25">
      <c r="A12" s="1"/>
      <c r="B12" s="105" t="s">
        <v>39</v>
      </c>
      <c r="C12" s="106"/>
      <c r="D12" s="106"/>
      <c r="E12" s="106"/>
      <c r="F12" s="107"/>
      <c r="G12" s="22">
        <f>(G10+G11)*'Fane 13. Nøgletal'!C33</f>
        <v>115314.53886599561</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2" t="s">
        <v>46</v>
      </c>
      <c r="C15" s="103"/>
      <c r="D15" s="103"/>
      <c r="E15" s="103"/>
      <c r="F15" s="103"/>
      <c r="G15" s="103"/>
      <c r="H15" s="104"/>
      <c r="I15" s="1"/>
    </row>
    <row r="16" spans="1:9" x14ac:dyDescent="0.25">
      <c r="A16" s="1"/>
      <c r="B16" s="105" t="s">
        <v>40</v>
      </c>
      <c r="C16" s="106"/>
      <c r="D16" s="106"/>
      <c r="E16" s="106"/>
      <c r="F16" s="107"/>
      <c r="G16" s="22">
        <f>(G10+G11-G12)*(1+'Fane 13. Nøgletal'!C11)</f>
        <v>5745904.3740687156</v>
      </c>
      <c r="H16" s="14" t="s">
        <v>3</v>
      </c>
      <c r="I16" s="1"/>
    </row>
    <row r="17" spans="1:9" x14ac:dyDescent="0.25">
      <c r="A17" s="1"/>
      <c r="B17" s="105" t="s">
        <v>100</v>
      </c>
      <c r="C17" s="106"/>
      <c r="D17" s="106"/>
      <c r="E17" s="106"/>
      <c r="F17" s="107"/>
      <c r="G17" s="47">
        <v>0</v>
      </c>
      <c r="H17" s="14" t="s">
        <v>3</v>
      </c>
      <c r="I17" s="1"/>
    </row>
    <row r="18" spans="1:9" x14ac:dyDescent="0.25">
      <c r="A18" s="1"/>
      <c r="B18" s="108" t="s">
        <v>229</v>
      </c>
      <c r="C18" s="109"/>
      <c r="D18" s="109"/>
      <c r="E18" s="109"/>
      <c r="F18" s="110"/>
      <c r="G18" s="47">
        <v>0</v>
      </c>
      <c r="H18" s="14" t="s">
        <v>3</v>
      </c>
      <c r="I18" s="1"/>
    </row>
    <row r="19" spans="1:9" x14ac:dyDescent="0.25">
      <c r="A19" s="1"/>
      <c r="B19" s="105" t="s">
        <v>41</v>
      </c>
      <c r="C19" s="106"/>
      <c r="D19" s="106"/>
      <c r="E19" s="106"/>
      <c r="F19" s="107"/>
      <c r="G19" s="22">
        <f>SUM(G16:G18)*'Fane 13. Nøgletal'!C33</f>
        <v>114918.08748137431</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2" t="s">
        <v>47</v>
      </c>
      <c r="C22" s="103"/>
      <c r="D22" s="103"/>
      <c r="E22" s="103"/>
      <c r="F22" s="103"/>
      <c r="G22" s="103"/>
      <c r="H22" s="104"/>
      <c r="I22" s="1"/>
    </row>
    <row r="23" spans="1:9" x14ac:dyDescent="0.25">
      <c r="A23" s="1"/>
      <c r="B23" s="105" t="s">
        <v>42</v>
      </c>
      <c r="C23" s="106"/>
      <c r="D23" s="106"/>
      <c r="E23" s="106"/>
      <c r="F23" s="107"/>
      <c r="G23" s="22">
        <f>(SUM(G16:G18)-G19)*(1+'Fane 13. Nøgletal'!C11)</f>
        <v>5726149.954830667</v>
      </c>
      <c r="H23" s="14" t="s">
        <v>3</v>
      </c>
      <c r="I23" s="1"/>
    </row>
    <row r="24" spans="1:9" x14ac:dyDescent="0.25">
      <c r="A24" s="1"/>
      <c r="B24" s="108" t="s">
        <v>230</v>
      </c>
      <c r="C24" s="109"/>
      <c r="D24" s="109"/>
      <c r="E24" s="109"/>
      <c r="F24" s="110"/>
      <c r="G24" s="47">
        <v>0</v>
      </c>
      <c r="H24" s="14" t="s">
        <v>3</v>
      </c>
      <c r="I24" s="1"/>
    </row>
    <row r="25" spans="1:9" x14ac:dyDescent="0.25">
      <c r="A25" s="1"/>
      <c r="B25" s="105" t="s">
        <v>43</v>
      </c>
      <c r="C25" s="106"/>
      <c r="D25" s="106"/>
      <c r="E25" s="106"/>
      <c r="F25" s="107"/>
      <c r="G25" s="22">
        <f>(G23+G24)*'Fane 13. Nøgletal'!C33</f>
        <v>114522.99909661335</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2" t="s">
        <v>121</v>
      </c>
      <c r="C28" s="103"/>
      <c r="D28" s="103"/>
      <c r="E28" s="103"/>
      <c r="F28" s="103"/>
      <c r="G28" s="103"/>
      <c r="H28" s="104"/>
      <c r="I28" s="1"/>
    </row>
    <row r="29" spans="1:9" x14ac:dyDescent="0.25">
      <c r="A29" s="1"/>
      <c r="B29" s="105" t="s">
        <v>50</v>
      </c>
      <c r="C29" s="106"/>
      <c r="D29" s="106"/>
      <c r="E29" s="106"/>
      <c r="F29" s="107"/>
      <c r="G29" s="22">
        <f>(G23+G24-G25)*(1+'Fane 13. Nøgletal'!C13)</f>
        <v>5680088.8045940092</v>
      </c>
      <c r="H29" s="14" t="s">
        <v>3</v>
      </c>
      <c r="I29" s="1"/>
    </row>
    <row r="30" spans="1:9" x14ac:dyDescent="0.25">
      <c r="A30" s="1"/>
      <c r="B30" s="105" t="s">
        <v>231</v>
      </c>
      <c r="C30" s="106"/>
      <c r="D30" s="106"/>
      <c r="E30" s="106"/>
      <c r="F30" s="107"/>
      <c r="G30" s="47">
        <v>7667.7235185600002</v>
      </c>
      <c r="H30" s="14" t="s">
        <v>3</v>
      </c>
      <c r="I30" s="1"/>
    </row>
    <row r="31" spans="1:9" x14ac:dyDescent="0.25">
      <c r="A31" s="1"/>
      <c r="B31" s="105" t="s">
        <v>115</v>
      </c>
      <c r="C31" s="106"/>
      <c r="D31" s="106"/>
      <c r="E31" s="106"/>
      <c r="F31" s="107"/>
      <c r="G31" s="22">
        <f>(G29+G30)*'Fane 13. Nøgletal'!C33</f>
        <v>113755.13056225138</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2" t="s">
        <v>122</v>
      </c>
      <c r="C34" s="103"/>
      <c r="D34" s="103"/>
      <c r="E34" s="103"/>
      <c r="F34" s="103"/>
      <c r="G34" s="103"/>
      <c r="H34" s="104"/>
      <c r="I34" s="1"/>
    </row>
    <row r="35" spans="1:9" x14ac:dyDescent="0.25">
      <c r="A35" s="1"/>
      <c r="B35" s="105" t="s">
        <v>69</v>
      </c>
      <c r="C35" s="106"/>
      <c r="D35" s="106"/>
      <c r="E35" s="106"/>
      <c r="F35" s="107"/>
      <c r="G35" s="22">
        <f>(G29+G30-G31)*(1+'Fane 13. Nøgletal'!C13)</f>
        <v>5642004.2146004317</v>
      </c>
      <c r="H35" s="14" t="s">
        <v>3</v>
      </c>
      <c r="I35" s="1"/>
    </row>
    <row r="36" spans="1:9" x14ac:dyDescent="0.25">
      <c r="A36" s="1"/>
      <c r="B36" s="105" t="s">
        <v>232</v>
      </c>
      <c r="C36" s="106"/>
      <c r="D36" s="106"/>
      <c r="E36" s="106"/>
      <c r="F36" s="107"/>
      <c r="G36" s="47">
        <v>42416.569682820009</v>
      </c>
      <c r="H36" s="14" t="s">
        <v>3</v>
      </c>
      <c r="I36" s="1"/>
    </row>
    <row r="37" spans="1:9" x14ac:dyDescent="0.25">
      <c r="A37" s="1"/>
      <c r="B37" s="105" t="s">
        <v>123</v>
      </c>
      <c r="C37" s="106"/>
      <c r="D37" s="106"/>
      <c r="E37" s="106"/>
      <c r="F37" s="107"/>
      <c r="G37" s="22">
        <f>(G35+G36)*'Fane 13. Nøgletal'!C33</f>
        <v>113688.41568566504</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2" t="s">
        <v>157</v>
      </c>
      <c r="C40" s="103"/>
      <c r="D40" s="103"/>
      <c r="E40" s="103"/>
      <c r="F40" s="103"/>
      <c r="G40" s="103"/>
      <c r="H40" s="104"/>
      <c r="I40" s="1"/>
    </row>
    <row r="41" spans="1:9" x14ac:dyDescent="0.25">
      <c r="A41" s="1"/>
      <c r="B41" s="105" t="s">
        <v>68</v>
      </c>
      <c r="C41" s="106"/>
      <c r="D41" s="106"/>
      <c r="E41" s="106"/>
      <c r="F41" s="107"/>
      <c r="G41" s="22">
        <f>(G35+G36-G37)*(1+'Fane 13. Nøgletal'!C15)</f>
        <v>5769050.440919661</v>
      </c>
      <c r="H41" s="14" t="s">
        <v>3</v>
      </c>
      <c r="I41" s="1"/>
    </row>
    <row r="42" spans="1:9" x14ac:dyDescent="0.25">
      <c r="A42" s="1"/>
      <c r="B42" s="105" t="s">
        <v>156</v>
      </c>
      <c r="C42" s="106"/>
      <c r="D42" s="106"/>
      <c r="E42" s="106"/>
      <c r="F42" s="107"/>
      <c r="G42" s="22">
        <v>862.26375744000018</v>
      </c>
      <c r="H42" s="14" t="s">
        <v>3</v>
      </c>
      <c r="I42" s="1"/>
    </row>
    <row r="43" spans="1:9" x14ac:dyDescent="0.25">
      <c r="A43" s="1"/>
      <c r="B43" s="105" t="s">
        <v>166</v>
      </c>
      <c r="C43" s="106"/>
      <c r="D43" s="106"/>
      <c r="E43" s="106"/>
      <c r="F43" s="107"/>
      <c r="G43" s="22">
        <f>(G41+G42)*'Fane 13. Nøgletal'!C33</f>
        <v>115398.25409354203</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2" t="s">
        <v>158</v>
      </c>
      <c r="C46" s="103"/>
      <c r="D46" s="103"/>
      <c r="E46" s="103"/>
      <c r="F46" s="103"/>
      <c r="G46" s="103"/>
      <c r="H46" s="104"/>
      <c r="I46" s="1"/>
    </row>
    <row r="47" spans="1:9" x14ac:dyDescent="0.25">
      <c r="A47" s="1"/>
      <c r="B47" s="105" t="s">
        <v>112</v>
      </c>
      <c r="C47" s="106"/>
      <c r="D47" s="106"/>
      <c r="E47" s="106"/>
      <c r="F47" s="107"/>
      <c r="G47" s="22">
        <f>(G41+G42-G43)*(1+'Fane 13. Nøgletal'!C15)</f>
        <v>5855815.1650243346</v>
      </c>
      <c r="H47" s="14" t="s">
        <v>3</v>
      </c>
      <c r="I47" s="1"/>
    </row>
    <row r="48" spans="1:9" x14ac:dyDescent="0.25">
      <c r="A48" s="1"/>
      <c r="B48" s="105" t="s">
        <v>206</v>
      </c>
      <c r="C48" s="106"/>
      <c r="D48" s="106"/>
      <c r="E48" s="106"/>
      <c r="F48" s="107"/>
      <c r="G48" s="22">
        <f>('Fane 2.1. Økonomisk ramme 2024'!C9+'Fane 2.1. Økonomisk ramme 2024'!C11+'Fane 2.1. Økonomisk ramme 2024'!C13)*(1+'Fane 13. Nøgletal'!C16)</f>
        <v>136855.81378698879</v>
      </c>
      <c r="H48" s="14" t="s">
        <v>3</v>
      </c>
      <c r="I48" s="1"/>
    </row>
    <row r="49" spans="1:9" x14ac:dyDescent="0.25">
      <c r="A49" s="1"/>
      <c r="B49" s="105" t="s">
        <v>167</v>
      </c>
      <c r="C49" s="106"/>
      <c r="D49" s="106"/>
      <c r="E49" s="106"/>
      <c r="F49" s="107"/>
      <c r="G49" s="22">
        <f>G47*'Fane 13. Nøgletal'!C33+G48*'Fane 13. Nøgletal'!C33</f>
        <v>119853.41957622646</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2" t="s">
        <v>133</v>
      </c>
      <c r="C52" s="103"/>
      <c r="D52" s="103"/>
      <c r="E52" s="103"/>
      <c r="F52" s="103"/>
      <c r="G52" s="103"/>
      <c r="H52" s="104"/>
      <c r="I52" s="1"/>
    </row>
    <row r="53" spans="1:9" x14ac:dyDescent="0.25">
      <c r="A53" s="1"/>
      <c r="B53" s="105" t="s">
        <v>134</v>
      </c>
      <c r="C53" s="106"/>
      <c r="D53" s="106"/>
      <c r="E53" s="106"/>
      <c r="F53" s="107"/>
      <c r="G53" s="22">
        <f>(G47+G48-G49)*(1+'Fane 13. Nøgletal'!C16)</f>
        <v>6347341.2180212922</v>
      </c>
      <c r="H53" s="14" t="s">
        <v>3</v>
      </c>
      <c r="I53" s="1"/>
    </row>
    <row r="54" spans="1:9" x14ac:dyDescent="0.25">
      <c r="A54" s="1"/>
      <c r="B54" s="105" t="s">
        <v>135</v>
      </c>
      <c r="C54" s="106"/>
      <c r="D54" s="106"/>
      <c r="E54" s="106"/>
      <c r="F54" s="107"/>
      <c r="G54" s="22">
        <f>(G53)*'Fane 13. Nøgletal'!C33</f>
        <v>126946.82436042585</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2" t="s">
        <v>144</v>
      </c>
      <c r="C57" s="103"/>
      <c r="D57" s="103"/>
      <c r="E57" s="103"/>
      <c r="F57" s="103"/>
      <c r="G57" s="103"/>
      <c r="H57" s="104"/>
      <c r="I57" s="1"/>
    </row>
    <row r="58" spans="1:9" x14ac:dyDescent="0.25">
      <c r="A58" s="1"/>
      <c r="B58" s="105" t="s">
        <v>145</v>
      </c>
      <c r="C58" s="106"/>
      <c r="D58" s="106"/>
      <c r="E58" s="106"/>
      <c r="F58" s="107"/>
      <c r="G58" s="22">
        <f>(G53-G54)*(1+'Fane 13. Nøgletal'!C16)</f>
        <v>6723002.2606686642</v>
      </c>
      <c r="H58" s="14" t="s">
        <v>3</v>
      </c>
      <c r="I58" s="1"/>
    </row>
    <row r="59" spans="1:9" x14ac:dyDescent="0.25">
      <c r="A59" s="1"/>
      <c r="B59" s="105" t="s">
        <v>146</v>
      </c>
      <c r="C59" s="106"/>
      <c r="D59" s="106"/>
      <c r="E59" s="106"/>
      <c r="F59" s="107"/>
      <c r="G59" s="22">
        <f>(G58)*'Fane 13. Nøgletal'!C33</f>
        <v>134460.04521337329</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2" t="s">
        <v>220</v>
      </c>
      <c r="C62" s="103"/>
      <c r="D62" s="103"/>
      <c r="E62" s="103"/>
      <c r="F62" s="103"/>
      <c r="G62" s="103"/>
      <c r="H62" s="104"/>
      <c r="I62" s="1"/>
    </row>
    <row r="63" spans="1:9" x14ac:dyDescent="0.25">
      <c r="A63" s="1"/>
      <c r="B63" s="105" t="s">
        <v>221</v>
      </c>
      <c r="C63" s="106"/>
      <c r="D63" s="106"/>
      <c r="E63" s="106"/>
      <c r="F63" s="107"/>
      <c r="G63" s="22">
        <f>(G58-G59)*(1+'Fane 13. Nøgletal'!C16)</f>
        <v>7120896.426464078</v>
      </c>
      <c r="H63" s="14" t="s">
        <v>3</v>
      </c>
      <c r="I63" s="1"/>
    </row>
    <row r="64" spans="1:9" x14ac:dyDescent="0.25">
      <c r="A64" s="1"/>
      <c r="B64" s="105" t="s">
        <v>222</v>
      </c>
      <c r="C64" s="106"/>
      <c r="D64" s="106"/>
      <c r="E64" s="106"/>
      <c r="F64" s="107"/>
      <c r="G64" s="22">
        <f>(G63)*'Fane 13. Nøgletal'!C33</f>
        <v>142417.92852928158</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qgSMsFcoo69RwYFpVHo4TpHQs9KpXFXds3TNhbdMNFPqDudUKOPE61pBbJ4rBnpuzg7EslN7ZJPoLopmFjvkXQ==" saltValue="elajIUFqL+C4aRWRJNO2MA=="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1" t="s">
        <v>91</v>
      </c>
      <c r="C1" s="112"/>
      <c r="D1" s="112"/>
      <c r="E1" s="112"/>
      <c r="F1" s="112"/>
      <c r="G1" s="112"/>
      <c r="H1" s="112"/>
      <c r="I1" s="1"/>
    </row>
    <row r="2" spans="1:9" ht="19.899999999999999" customHeight="1" x14ac:dyDescent="0.25">
      <c r="A2" s="1"/>
      <c r="B2" s="112"/>
      <c r="C2" s="112"/>
      <c r="D2" s="112"/>
      <c r="E2" s="112"/>
      <c r="F2" s="112"/>
      <c r="G2" s="112"/>
      <c r="H2" s="112"/>
      <c r="I2" s="1"/>
    </row>
    <row r="3" spans="1:9" ht="15" customHeight="1" x14ac:dyDescent="0.25">
      <c r="A3" s="1"/>
      <c r="B3" s="113"/>
      <c r="C3" s="113"/>
      <c r="D3" s="113"/>
      <c r="E3" s="113"/>
      <c r="F3" s="113"/>
      <c r="G3" s="113"/>
      <c r="H3" s="113"/>
      <c r="I3" s="1"/>
    </row>
    <row r="4" spans="1:9" x14ac:dyDescent="0.25">
      <c r="A4" s="1"/>
      <c r="B4" s="102" t="s">
        <v>48</v>
      </c>
      <c r="C4" s="103"/>
      <c r="D4" s="103"/>
      <c r="E4" s="103"/>
      <c r="F4" s="103"/>
      <c r="G4" s="103"/>
      <c r="H4" s="104"/>
      <c r="I4" s="1"/>
    </row>
    <row r="5" spans="1:9" x14ac:dyDescent="0.25">
      <c r="A5" s="1"/>
      <c r="B5" s="105" t="s">
        <v>51</v>
      </c>
      <c r="C5" s="106"/>
      <c r="D5" s="106"/>
      <c r="E5" s="106"/>
      <c r="F5" s="107"/>
      <c r="G5" s="47">
        <v>6341180.5936294496</v>
      </c>
      <c r="H5" s="14" t="s">
        <v>3</v>
      </c>
      <c r="I5" s="1"/>
    </row>
    <row r="6" spans="1:9" x14ac:dyDescent="0.25">
      <c r="A6" s="1"/>
      <c r="B6" s="105" t="s">
        <v>49</v>
      </c>
      <c r="C6" s="106"/>
      <c r="D6" s="106"/>
      <c r="E6" s="106"/>
      <c r="F6" s="107"/>
      <c r="G6" s="22">
        <f>G5*'Fane 13. Nøgletal'!C21</f>
        <v>57704.743402027991</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2" t="s">
        <v>52</v>
      </c>
      <c r="C9" s="103"/>
      <c r="D9" s="103"/>
      <c r="E9" s="103"/>
      <c r="F9" s="103"/>
      <c r="G9" s="103"/>
      <c r="H9" s="104"/>
      <c r="I9" s="1"/>
    </row>
    <row r="10" spans="1:9" x14ac:dyDescent="0.25">
      <c r="A10" s="1"/>
      <c r="B10" s="105" t="s">
        <v>53</v>
      </c>
      <c r="C10" s="106"/>
      <c r="D10" s="106"/>
      <c r="E10" s="106"/>
      <c r="F10" s="107"/>
      <c r="G10" s="22">
        <f>(G5-G6)*(1+'Fane 13. Nøgletal'!C9)</f>
        <v>6363275.9935253086</v>
      </c>
      <c r="H10" s="14" t="s">
        <v>3</v>
      </c>
      <c r="I10" s="1"/>
    </row>
    <row r="11" spans="1:9" x14ac:dyDescent="0.25">
      <c r="A11" s="1"/>
      <c r="B11" s="108" t="s">
        <v>54</v>
      </c>
      <c r="C11" s="109"/>
      <c r="D11" s="109"/>
      <c r="E11" s="109"/>
      <c r="F11" s="110"/>
      <c r="G11" s="48">
        <v>0</v>
      </c>
      <c r="H11" s="14" t="s">
        <v>3</v>
      </c>
      <c r="I11" s="1"/>
    </row>
    <row r="12" spans="1:9" x14ac:dyDescent="0.25">
      <c r="A12" s="1"/>
      <c r="B12" s="105" t="s">
        <v>55</v>
      </c>
      <c r="C12" s="106"/>
      <c r="D12" s="106"/>
      <c r="E12" s="106"/>
      <c r="F12" s="107"/>
      <c r="G12" s="22">
        <f>G10*'Fane 13. Nøgletal'!C21+G11*'Fane 13. Nøgletal'!C22</f>
        <v>57905.811541080308</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2" t="s">
        <v>56</v>
      </c>
      <c r="C15" s="103"/>
      <c r="D15" s="103"/>
      <c r="E15" s="103"/>
      <c r="F15" s="103"/>
      <c r="G15" s="103"/>
      <c r="H15" s="104"/>
      <c r="I15" s="1"/>
    </row>
    <row r="16" spans="1:9" x14ac:dyDescent="0.25">
      <c r="A16" s="1"/>
      <c r="B16" s="105" t="s">
        <v>57</v>
      </c>
      <c r="C16" s="106"/>
      <c r="D16" s="106"/>
      <c r="E16" s="106"/>
      <c r="F16" s="107"/>
      <c r="G16" s="22">
        <f>(G10+G11-G12)*(1+'Fane 13. Nøgletal'!C11)</f>
        <v>6411930.9380597612</v>
      </c>
      <c r="H16" s="14" t="s">
        <v>3</v>
      </c>
      <c r="I16" s="1"/>
    </row>
    <row r="17" spans="1:9" x14ac:dyDescent="0.25">
      <c r="A17" s="1"/>
      <c r="B17" s="105" t="s">
        <v>101</v>
      </c>
      <c r="C17" s="106"/>
      <c r="D17" s="106"/>
      <c r="E17" s="106"/>
      <c r="F17" s="107"/>
      <c r="G17" s="47">
        <v>-61907.125693653754</v>
      </c>
      <c r="H17" s="14" t="s">
        <v>3</v>
      </c>
      <c r="I17" s="1"/>
    </row>
    <row r="18" spans="1:9" x14ac:dyDescent="0.25">
      <c r="A18" s="1"/>
      <c r="B18" s="108" t="s">
        <v>58</v>
      </c>
      <c r="C18" s="109"/>
      <c r="D18" s="109"/>
      <c r="E18" s="109"/>
      <c r="F18" s="110"/>
      <c r="G18" s="47">
        <v>0</v>
      </c>
      <c r="H18" s="14" t="s">
        <v>3</v>
      </c>
      <c r="I18" s="1"/>
    </row>
    <row r="19" spans="1:9" x14ac:dyDescent="0.25">
      <c r="A19" s="1"/>
      <c r="B19" s="105" t="s">
        <v>59</v>
      </c>
      <c r="C19" s="106"/>
      <c r="D19" s="106"/>
      <c r="E19" s="106"/>
      <c r="F19" s="107"/>
      <c r="G19" s="22">
        <f>(G16+G17+G18)*'Fane 13. Nøgletal'!C23</f>
        <v>55245.207167585133</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2" t="s">
        <v>60</v>
      </c>
      <c r="C22" s="103"/>
      <c r="D22" s="103"/>
      <c r="E22" s="103"/>
      <c r="F22" s="103"/>
      <c r="G22" s="103"/>
      <c r="H22" s="104"/>
      <c r="I22" s="1"/>
    </row>
    <row r="23" spans="1:9" x14ac:dyDescent="0.25">
      <c r="A23" s="1"/>
      <c r="B23" s="105" t="s">
        <v>61</v>
      </c>
      <c r="C23" s="106"/>
      <c r="D23" s="106"/>
      <c r="E23" s="106"/>
      <c r="F23" s="107"/>
      <c r="G23" s="22">
        <f>(SUM(G16:G18)-G19)*(1+'Fane 13. Nøgletal'!C11)</f>
        <v>6401160.3636263767</v>
      </c>
      <c r="H23" s="14" t="s">
        <v>3</v>
      </c>
      <c r="I23" s="1"/>
    </row>
    <row r="24" spans="1:9" x14ac:dyDescent="0.25">
      <c r="A24" s="1"/>
      <c r="B24" s="108" t="s">
        <v>62</v>
      </c>
      <c r="C24" s="109"/>
      <c r="D24" s="109"/>
      <c r="E24" s="109"/>
      <c r="F24" s="110"/>
      <c r="G24" s="47">
        <v>94413.798360090004</v>
      </c>
      <c r="H24" s="14" t="s">
        <v>3</v>
      </c>
      <c r="I24" s="1"/>
    </row>
    <row r="25" spans="1:9" x14ac:dyDescent="0.25">
      <c r="A25" s="1"/>
      <c r="B25" s="105" t="s">
        <v>63</v>
      </c>
      <c r="C25" s="106"/>
      <c r="D25" s="106"/>
      <c r="E25" s="106"/>
      <c r="F25" s="107"/>
      <c r="G25" s="22">
        <f>G23*'Fane 13. Nøgletal'!C23+G24*'Fane 13. Nøgletal'!C24</f>
        <v>58371.447036976024</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2" t="s">
        <v>119</v>
      </c>
      <c r="C28" s="103"/>
      <c r="D28" s="103"/>
      <c r="E28" s="103"/>
      <c r="F28" s="103"/>
      <c r="G28" s="103"/>
      <c r="H28" s="104"/>
      <c r="I28" s="1"/>
    </row>
    <row r="29" spans="1:9" x14ac:dyDescent="0.25">
      <c r="A29" s="1"/>
      <c r="B29" s="105" t="s">
        <v>64</v>
      </c>
      <c r="C29" s="106"/>
      <c r="D29" s="106"/>
      <c r="E29" s="106"/>
      <c r="F29" s="107"/>
      <c r="G29" s="22">
        <f>(G23+G24-G25)*(1+'Fane 13. Nøgletal'!C13)</f>
        <v>6515736.5880718743</v>
      </c>
      <c r="H29" s="14" t="s">
        <v>3</v>
      </c>
      <c r="I29" s="1"/>
    </row>
    <row r="30" spans="1:9" x14ac:dyDescent="0.25">
      <c r="A30" s="1"/>
      <c r="B30" s="105" t="s">
        <v>113</v>
      </c>
      <c r="C30" s="106"/>
      <c r="D30" s="106"/>
      <c r="E30" s="106"/>
      <c r="F30" s="107"/>
      <c r="G30" s="47">
        <v>3320.5627904399998</v>
      </c>
      <c r="H30" s="14" t="s">
        <v>3</v>
      </c>
      <c r="I30" s="1"/>
    </row>
    <row r="31" spans="1:9" x14ac:dyDescent="0.25">
      <c r="A31" s="1"/>
      <c r="B31" s="105" t="s">
        <v>120</v>
      </c>
      <c r="C31" s="106"/>
      <c r="D31" s="106"/>
      <c r="E31" s="106"/>
      <c r="F31" s="107"/>
      <c r="G31" s="22">
        <f>(G29+G30)*'Fane 13. Nøgletal'!C25</f>
        <v>179274.07164871367</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2" t="s">
        <v>124</v>
      </c>
      <c r="C34" s="103"/>
      <c r="D34" s="103"/>
      <c r="E34" s="103"/>
      <c r="F34" s="103"/>
      <c r="G34" s="103"/>
      <c r="H34" s="104"/>
      <c r="I34" s="1"/>
    </row>
    <row r="35" spans="1:9" x14ac:dyDescent="0.25">
      <c r="A35" s="1"/>
      <c r="B35" s="105" t="s">
        <v>67</v>
      </c>
      <c r="C35" s="106"/>
      <c r="D35" s="106"/>
      <c r="E35" s="106"/>
      <c r="F35" s="107"/>
      <c r="G35" s="22">
        <f>(G29+G30-G31)*(1+'Fane 13. Nøgletal'!C13)</f>
        <v>6417128.4327800069</v>
      </c>
      <c r="H35" s="14" t="s">
        <v>3</v>
      </c>
      <c r="I35" s="1"/>
    </row>
    <row r="36" spans="1:9" x14ac:dyDescent="0.25">
      <c r="A36" s="1"/>
      <c r="B36" s="105" t="s">
        <v>129</v>
      </c>
      <c r="C36" s="106"/>
      <c r="D36" s="106"/>
      <c r="E36" s="106"/>
      <c r="F36" s="107"/>
      <c r="G36" s="22">
        <v>49714.498635320007</v>
      </c>
      <c r="H36" s="14" t="s">
        <v>3</v>
      </c>
      <c r="I36" s="1"/>
    </row>
    <row r="37" spans="1:9" x14ac:dyDescent="0.25">
      <c r="A37" s="1"/>
      <c r="B37" s="105" t="s">
        <v>125</v>
      </c>
      <c r="C37" s="106"/>
      <c r="D37" s="106"/>
      <c r="E37" s="106"/>
      <c r="F37" s="107"/>
      <c r="G37" s="22">
        <f>G35*'Fane 13. Nøgletal'!C25+G36*'Fane 13. Nøgletal'!C26</f>
        <v>177206.80648125292</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2" t="s">
        <v>159</v>
      </c>
      <c r="C40" s="103"/>
      <c r="D40" s="103"/>
      <c r="E40" s="103"/>
      <c r="F40" s="103"/>
      <c r="G40" s="103"/>
      <c r="H40" s="104"/>
      <c r="I40" s="1"/>
    </row>
    <row r="41" spans="1:9" x14ac:dyDescent="0.25">
      <c r="A41" s="1"/>
      <c r="B41" s="105" t="s">
        <v>66</v>
      </c>
      <c r="C41" s="106"/>
      <c r="D41" s="106"/>
      <c r="E41" s="106"/>
      <c r="F41" s="107"/>
      <c r="G41" s="22">
        <f>(G35+G36-G37)*(1+'Fane 13. Nøgletal'!C15)</f>
        <v>6513547.1709817266</v>
      </c>
      <c r="H41" s="14" t="s">
        <v>3</v>
      </c>
      <c r="I41" s="1"/>
    </row>
    <row r="42" spans="1:9" x14ac:dyDescent="0.25">
      <c r="A42" s="1"/>
      <c r="B42" s="105" t="s">
        <v>169</v>
      </c>
      <c r="C42" s="106"/>
      <c r="D42" s="106"/>
      <c r="E42" s="106"/>
      <c r="F42" s="107"/>
      <c r="G42" s="9">
        <v>19285.108067520003</v>
      </c>
      <c r="H42" s="14" t="s">
        <v>3</v>
      </c>
      <c r="I42" s="1"/>
    </row>
    <row r="43" spans="1:9" x14ac:dyDescent="0.25">
      <c r="A43" s="1"/>
      <c r="B43" s="105" t="s">
        <v>65</v>
      </c>
      <c r="C43" s="106"/>
      <c r="D43" s="106"/>
      <c r="E43" s="106"/>
      <c r="F43" s="107"/>
      <c r="G43" s="57">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2" t="s">
        <v>160</v>
      </c>
      <c r="C46" s="103"/>
      <c r="D46" s="103"/>
      <c r="E46" s="103"/>
      <c r="F46" s="103"/>
      <c r="G46" s="103"/>
      <c r="H46" s="104"/>
      <c r="I46" s="1"/>
    </row>
    <row r="47" spans="1:9" x14ac:dyDescent="0.25">
      <c r="A47" s="1"/>
      <c r="B47" s="105" t="s">
        <v>114</v>
      </c>
      <c r="C47" s="106"/>
      <c r="D47" s="106"/>
      <c r="E47" s="106"/>
      <c r="F47" s="107"/>
      <c r="G47" s="22">
        <f>(G41+G42-G43)*(1+'Fane 13. Nøgletal'!C15)</f>
        <v>6765401.1081834007</v>
      </c>
      <c r="H47" s="14" t="s">
        <v>3</v>
      </c>
      <c r="I47" s="1"/>
    </row>
    <row r="48" spans="1:9" x14ac:dyDescent="0.25">
      <c r="A48" s="1"/>
      <c r="B48" s="105" t="s">
        <v>210</v>
      </c>
      <c r="C48" s="106"/>
      <c r="D48" s="106"/>
      <c r="E48" s="106"/>
      <c r="F48" s="107"/>
      <c r="G48" s="22">
        <f>('Fane 2.1. Økonomisk ramme 2024'!C10+'Fane 2.1. Økonomisk ramme 2024'!C12+'Fane 2.1. Økonomisk ramme 2024'!C14)*(1+'Fane 13. Nøgletal'!C16)</f>
        <v>299179.02800782077</v>
      </c>
      <c r="H48" s="14" t="s">
        <v>3</v>
      </c>
      <c r="I48" s="1"/>
    </row>
    <row r="49" spans="1:9" x14ac:dyDescent="0.25">
      <c r="A49" s="1"/>
      <c r="B49" s="105" t="s">
        <v>211</v>
      </c>
      <c r="C49" s="106"/>
      <c r="D49" s="106"/>
      <c r="E49" s="106"/>
      <c r="F49" s="107"/>
      <c r="G49" s="57">
        <f>(G47)*'Fane 13. Nøgletal'!C27+G48*'Fane 13. Nøgletal'!C28</f>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2" t="s">
        <v>130</v>
      </c>
      <c r="C52" s="103"/>
      <c r="D52" s="103"/>
      <c r="E52" s="103"/>
      <c r="F52" s="103"/>
      <c r="G52" s="103"/>
      <c r="H52" s="104"/>
      <c r="I52" s="1"/>
    </row>
    <row r="53" spans="1:9" x14ac:dyDescent="0.25">
      <c r="A53" s="1"/>
      <c r="B53" s="105" t="s">
        <v>131</v>
      </c>
      <c r="C53" s="106"/>
      <c r="D53" s="106"/>
      <c r="E53" s="106"/>
      <c r="F53" s="107"/>
      <c r="G53" s="22">
        <f>(G47+G48-G49)*(1+'Fane 13. Nøgletal'!C16)</f>
        <v>7635398.2111954726</v>
      </c>
      <c r="H53" s="14" t="s">
        <v>3</v>
      </c>
      <c r="I53" s="1"/>
    </row>
    <row r="54" spans="1:9" x14ac:dyDescent="0.25">
      <c r="A54" s="1"/>
      <c r="B54" s="105" t="s">
        <v>132</v>
      </c>
      <c r="C54" s="106"/>
      <c r="D54" s="106"/>
      <c r="E54" s="106"/>
      <c r="F54" s="107"/>
      <c r="G54" s="57">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2" t="s">
        <v>147</v>
      </c>
      <c r="C57" s="103"/>
      <c r="D57" s="103"/>
      <c r="E57" s="103"/>
      <c r="F57" s="103"/>
      <c r="G57" s="103"/>
      <c r="H57" s="104"/>
      <c r="I57" s="1"/>
    </row>
    <row r="58" spans="1:9" x14ac:dyDescent="0.25">
      <c r="A58" s="1"/>
      <c r="B58" s="105" t="s">
        <v>148</v>
      </c>
      <c r="C58" s="106"/>
      <c r="D58" s="106"/>
      <c r="E58" s="106"/>
      <c r="F58" s="107"/>
      <c r="G58" s="22">
        <f>(G53-G54)*(1+'Fane 13. Nøgletal'!C16)</f>
        <v>8252338.3866600664</v>
      </c>
      <c r="H58" s="14" t="s">
        <v>3</v>
      </c>
      <c r="I58" s="1"/>
    </row>
    <row r="59" spans="1:9" x14ac:dyDescent="0.25">
      <c r="A59" s="1"/>
      <c r="B59" s="105" t="s">
        <v>149</v>
      </c>
      <c r="C59" s="106"/>
      <c r="D59" s="106"/>
      <c r="E59" s="106"/>
      <c r="F59" s="107"/>
      <c r="G59" s="57">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2" t="s">
        <v>223</v>
      </c>
      <c r="C62" s="103"/>
      <c r="D62" s="103"/>
      <c r="E62" s="103"/>
      <c r="F62" s="103"/>
      <c r="G62" s="103"/>
      <c r="H62" s="104"/>
      <c r="I62" s="1"/>
    </row>
    <row r="63" spans="1:9" x14ac:dyDescent="0.25">
      <c r="A63" s="1"/>
      <c r="B63" s="105" t="s">
        <v>224</v>
      </c>
      <c r="C63" s="106"/>
      <c r="D63" s="106"/>
      <c r="E63" s="106"/>
      <c r="F63" s="107"/>
      <c r="G63" s="22">
        <f>(G58-G59)*(1+'Fane 13. Nøgletal'!C16)</f>
        <v>8919127.328302199</v>
      </c>
      <c r="H63" s="14" t="s">
        <v>3</v>
      </c>
      <c r="I63" s="1"/>
    </row>
    <row r="64" spans="1:9" x14ac:dyDescent="0.25">
      <c r="A64" s="1"/>
      <c r="B64" s="105" t="s">
        <v>225</v>
      </c>
      <c r="C64" s="106"/>
      <c r="D64" s="106"/>
      <c r="E64" s="106"/>
      <c r="F64" s="107"/>
      <c r="G64" s="57">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J3qHmEfcVJqq32lB6+UA0AK2I+GhOcjuBnc8GQciTlfKLsAVwoeJQ7TVORf+ISkYzwhwQeDOnEAVuboJKdWpPQ==" saltValue="fRi02vVoyMLjVbrbcKDRx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77</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2" t="s">
        <v>9</v>
      </c>
      <c r="C8" s="103"/>
      <c r="D8" s="103"/>
      <c r="E8" s="103"/>
      <c r="F8" s="103"/>
      <c r="G8" s="104"/>
      <c r="H8" s="1"/>
    </row>
    <row r="9" spans="1:8" x14ac:dyDescent="0.25">
      <c r="A9" s="1"/>
      <c r="B9" s="66" t="s">
        <v>150</v>
      </c>
      <c r="C9" s="67"/>
      <c r="D9" s="67"/>
      <c r="E9" s="67"/>
      <c r="F9" s="68"/>
      <c r="G9" s="52">
        <v>0</v>
      </c>
      <c r="H9" s="1"/>
    </row>
    <row r="10" spans="1:8" x14ac:dyDescent="0.25">
      <c r="A10" s="1"/>
      <c r="B10" s="53"/>
      <c r="C10" s="54"/>
      <c r="D10" s="54"/>
      <c r="E10" s="54"/>
      <c r="F10" s="54"/>
      <c r="G10" s="19"/>
      <c r="H10" s="1"/>
    </row>
    <row r="11" spans="1:8" ht="15" customHeight="1" x14ac:dyDescent="0.25">
      <c r="A11" s="1"/>
      <c r="B11" s="114" t="s">
        <v>236</v>
      </c>
      <c r="C11" s="115"/>
      <c r="D11" s="115"/>
      <c r="E11" s="115"/>
      <c r="F11" s="115"/>
      <c r="G11" s="116"/>
      <c r="H11" s="1"/>
    </row>
    <row r="12" spans="1:8" ht="13.5" customHeight="1" x14ac:dyDescent="0.25">
      <c r="A12" s="1"/>
      <c r="B12" s="117"/>
      <c r="C12" s="118"/>
      <c r="D12" s="118"/>
      <c r="E12" s="118"/>
      <c r="F12" s="118"/>
      <c r="G12" s="119"/>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SK5IERMUcgjbpLroIW1Swen4Of5bsOts0cGXJC5GYSfym32xFFtJ5lZ5b2i1bgz3i8a7rc3R7ikbJ2sqBrryWA==" saltValue="qVFfJdyi1mvJYTYbvatkP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2023-08-31T07:12:07Z</dcterms:modified>
</cp:coreProperties>
</file>