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jøvlund Vandværk IS (V02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1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2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<sst xmlns="http://schemas.openxmlformats.org/spreadsheetml/2006/main" count="406" uniqueCount="156">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</sst>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0" t="s">
        <v>4</v>
      </c>
      <c r="E6" s="50"/>
      <c r="F6" s="50"/>
      <c r="G6" s="50"/>
      <c r="H6" s="3"/>
      <c r="I6" s="1"/>
    </row>
    <row r="7" spans="1:9" ht="15" customHeight="1" x14ac:dyDescent="0.45">
      <c r="A7" s="1"/>
      <c r="B7" s="1"/>
      <c r="C7" s="3"/>
      <c r="D7" s="50"/>
      <c r="E7" s="50"/>
      <c r="F7" s="50"/>
      <c r="G7" s="50"/>
      <c r="H7" s="3"/>
      <c r="I7" s="1"/>
    </row>
    <row r="8" spans="1:9" ht="15.75" x14ac:dyDescent="0.5">
      <c r="A8" s="1"/>
      <c r="B8" s="1"/>
      <c r="C8" s="4"/>
      <c r="D8" s="55" t="s">
        <v>131</v>
      </c>
      <c r="E8" s="55"/>
      <c r="F8" s="55"/>
      <c r="G8" s="5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4" t="s">
        <v>5</v>
      </c>
      <c r="E11" s="54"/>
      <c r="F11" s="54"/>
      <c r="G11" s="5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7" t="s">
        <v>83</v>
      </c>
      <c r="E13" s="48"/>
      <c r="F13" s="48"/>
      <c r="G13" s="49"/>
      <c r="H13" s="1"/>
      <c r="I13" s="1"/>
    </row>
    <row r="14" spans="1:9" x14ac:dyDescent="0.45">
      <c r="A14" s="1"/>
      <c r="B14" s="1"/>
      <c r="C14" s="6" t="s">
        <v>15</v>
      </c>
      <c r="D14" s="47" t="s">
        <v>132</v>
      </c>
      <c r="E14" s="48"/>
      <c r="F14" s="48"/>
      <c r="G14" s="49"/>
      <c r="H14" s="1"/>
      <c r="I14" s="1"/>
    </row>
    <row r="15" spans="1:9" x14ac:dyDescent="0.45">
      <c r="A15" s="1"/>
      <c r="B15" s="1"/>
      <c r="C15" s="6" t="s">
        <v>37</v>
      </c>
      <c r="D15" s="47" t="s">
        <v>47</v>
      </c>
      <c r="E15" s="48"/>
      <c r="F15" s="48"/>
      <c r="G15" s="49"/>
      <c r="H15" s="1"/>
      <c r="I15" s="1"/>
    </row>
    <row r="16" spans="1:9" x14ac:dyDescent="0.45">
      <c r="A16" s="1"/>
      <c r="B16" s="1"/>
      <c r="C16" s="6" t="s">
        <v>38</v>
      </c>
      <c r="D16" s="47" t="s">
        <v>84</v>
      </c>
      <c r="E16" s="48"/>
      <c r="F16" s="48"/>
      <c r="G16" s="49"/>
      <c r="H16" s="1"/>
      <c r="I16" s="1"/>
    </row>
    <row r="17" spans="1:9" x14ac:dyDescent="0.45">
      <c r="A17" s="1"/>
      <c r="B17" s="1"/>
      <c r="C17" s="6" t="s">
        <v>79</v>
      </c>
      <c r="D17" s="47" t="s">
        <v>85</v>
      </c>
      <c r="E17" s="48"/>
      <c r="F17" s="48"/>
      <c r="G17" s="49"/>
      <c r="H17" s="1"/>
      <c r="I17" s="1"/>
    </row>
    <row r="18" spans="1:9" x14ac:dyDescent="0.45">
      <c r="A18" s="1"/>
      <c r="B18" s="1"/>
      <c r="C18" s="6" t="s">
        <v>7</v>
      </c>
      <c r="D18" s="59" t="s">
        <v>12</v>
      </c>
      <c r="E18" s="60"/>
      <c r="F18" s="60"/>
      <c r="G18" s="61"/>
      <c r="H18" s="1"/>
      <c r="I18" s="1"/>
    </row>
    <row r="19" spans="1:9" x14ac:dyDescent="0.45">
      <c r="A19" s="1"/>
      <c r="B19" s="1"/>
      <c r="C19" s="6" t="s">
        <v>8</v>
      </c>
      <c r="D19" s="51" t="s">
        <v>86</v>
      </c>
      <c r="E19" s="52"/>
      <c r="F19" s="52"/>
      <c r="G19" s="53"/>
      <c r="H19" s="1"/>
      <c r="I19" s="1"/>
    </row>
    <row r="20" spans="1:9" x14ac:dyDescent="0.45">
      <c r="A20" s="1"/>
      <c r="B20" s="1"/>
      <c r="C20" s="6" t="s">
        <v>74</v>
      </c>
      <c r="D20" s="51" t="s">
        <v>39</v>
      </c>
      <c r="E20" s="52"/>
      <c r="F20" s="52"/>
      <c r="G20" s="53"/>
      <c r="H20" s="1"/>
      <c r="I20" s="1"/>
    </row>
    <row r="21" spans="1:9" x14ac:dyDescent="0.45">
      <c r="A21" s="1"/>
      <c r="B21" s="1"/>
      <c r="C21" s="6" t="s">
        <v>121</v>
      </c>
      <c r="D21" s="51" t="s">
        <v>51</v>
      </c>
      <c r="E21" s="52"/>
      <c r="F21" s="52"/>
      <c r="G21" s="53"/>
      <c r="H21" s="1"/>
      <c r="I21" s="1"/>
    </row>
    <row r="22" spans="1:9" x14ac:dyDescent="0.45">
      <c r="A22" s="1"/>
      <c r="B22" s="1"/>
      <c r="C22" s="6" t="s">
        <v>122</v>
      </c>
      <c r="D22" s="51" t="s">
        <v>52</v>
      </c>
      <c r="E22" s="52"/>
      <c r="F22" s="52"/>
      <c r="G22" s="53"/>
      <c r="H22" s="1"/>
      <c r="I22" s="1"/>
    </row>
    <row r="23" spans="1:9" x14ac:dyDescent="0.45">
      <c r="A23" s="1"/>
      <c r="B23" s="1"/>
      <c r="C23" s="6" t="s">
        <v>123</v>
      </c>
      <c r="D23" s="51" t="s">
        <v>87</v>
      </c>
      <c r="E23" s="52"/>
      <c r="F23" s="52"/>
      <c r="G23" s="53"/>
      <c r="H23" s="1"/>
      <c r="I23" s="1"/>
    </row>
    <row r="24" spans="1:9" x14ac:dyDescent="0.45">
      <c r="A24" s="1"/>
      <c r="B24" s="1"/>
      <c r="C24" s="6" t="s">
        <v>9</v>
      </c>
      <c r="D24" s="51" t="s">
        <v>40</v>
      </c>
      <c r="E24" s="52"/>
      <c r="F24" s="52"/>
      <c r="G24" s="53"/>
      <c r="H24" s="1"/>
      <c r="I24" s="1"/>
    </row>
    <row r="25" spans="1:9" x14ac:dyDescent="0.45">
      <c r="A25" s="1"/>
      <c r="B25" s="1"/>
      <c r="C25" s="6" t="s">
        <v>61</v>
      </c>
      <c r="D25" s="56" t="s">
        <v>75</v>
      </c>
      <c r="E25" s="57"/>
      <c r="F25" s="57"/>
      <c r="G25" s="58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5" t="s">
        <v>16</v>
      </c>
      <c r="C9" s="35" t="s">
        <v>11</v>
      </c>
      <c r="D9" s="36"/>
      <c r="E9" s="35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5" t="s">
        <v>16</v>
      </c>
      <c r="C16" s="35" t="s">
        <v>11</v>
      </c>
      <c r="D16" s="36"/>
      <c r="E16" s="35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5" t="s">
        <v>16</v>
      </c>
      <c r="C23" s="35" t="s">
        <v>11</v>
      </c>
      <c r="D23" s="36"/>
      <c r="E23" s="35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5" t="s">
        <v>16</v>
      </c>
      <c r="C30" s="35" t="s">
        <v>11</v>
      </c>
      <c r="D30" s="36"/>
      <c r="E30" s="35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142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143</v>
      </c>
      <c r="C3" s="78"/>
      <c r="D3" s="78"/>
      <c r="E3" s="78"/>
      <c r="F3" s="78"/>
      <c r="G3" s="1"/>
    </row>
    <row r="4" spans="1:7" ht="25.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8" t="s">
        <v>144</v>
      </c>
      <c r="C3" s="78"/>
      <c r="D3" s="1"/>
    </row>
    <row r="4" spans="1:4" ht="25.5" customHeight="1" x14ac:dyDescent="0.45">
      <c r="A4" s="1"/>
      <c r="B4" s="78"/>
      <c r="C4" s="7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33" t="s">
        <v>26</v>
      </c>
      <c r="C9" s="33"/>
      <c r="D9" s="33"/>
      <c r="E9" s="7">
        <f>'Fane 3. Omkostninger i ØR2020'!E16</f>
        <v>1695962.5818335463</v>
      </c>
      <c r="F9" s="33" t="s">
        <v>3</v>
      </c>
      <c r="G9" s="1"/>
    </row>
    <row r="10" spans="1:7" ht="17.100000000000001" customHeight="1" x14ac:dyDescent="0.45">
      <c r="A10" s="1"/>
      <c r="B10" s="33" t="s">
        <v>120</v>
      </c>
      <c r="C10" s="33"/>
      <c r="D10" s="33"/>
      <c r="E10" s="7">
        <v>12040.297391925775</v>
      </c>
      <c r="F10" s="33" t="s">
        <v>3</v>
      </c>
      <c r="G10" s="1"/>
    </row>
    <row r="11" spans="1:7" ht="17.100000000000001" customHeight="1" x14ac:dyDescent="0.45">
      <c r="A11" s="1"/>
      <c r="B11" s="27" t="s">
        <v>80</v>
      </c>
      <c r="C11" s="33"/>
      <c r="D11" s="33"/>
      <c r="E11" s="7">
        <f>'Fane 7.1. Varige tillæg'!C12+'Fane 7.1. Varige tillæg'!E12</f>
        <v>0</v>
      </c>
      <c r="F11" s="33" t="s">
        <v>3</v>
      </c>
      <c r="G11" s="1"/>
    </row>
    <row r="12" spans="1:7" ht="17.100000000000001" customHeight="1" x14ac:dyDescent="0.45">
      <c r="A12" s="1"/>
      <c r="B12" s="27" t="s">
        <v>82</v>
      </c>
      <c r="C12" s="33"/>
      <c r="D12" s="33"/>
      <c r="E12" s="8">
        <f>-('Fane 9. Bortfald'!C12+'Fane 9. Bortfald'!E12)</f>
        <v>0</v>
      </c>
      <c r="F12" s="33" t="s">
        <v>3</v>
      </c>
      <c r="G12" s="1"/>
    </row>
    <row r="13" spans="1:7" ht="17.100000000000001" customHeight="1" x14ac:dyDescent="0.45">
      <c r="A13" s="1"/>
      <c r="B13" s="27" t="s">
        <v>89</v>
      </c>
      <c r="C13" s="33"/>
      <c r="D13" s="33"/>
      <c r="E13" s="8">
        <f>'Fane 8. Tilknyttet virksomhed'!C12+'Fane 8. Tilknyttet virksomhed'!E12</f>
        <v>0</v>
      </c>
      <c r="F13" s="33" t="s">
        <v>3</v>
      </c>
      <c r="G13" s="1"/>
    </row>
    <row r="14" spans="1:7" ht="17.100000000000001" customHeight="1" x14ac:dyDescent="0.45">
      <c r="A14" s="1"/>
      <c r="B14" s="27" t="s">
        <v>18</v>
      </c>
      <c r="C14" s="33"/>
      <c r="D14" s="33"/>
      <c r="E14" s="8">
        <f>SUM(E9:E13)*'Fane 10. Nøgletal'!C13</f>
        <v>20837.635126550758</v>
      </c>
      <c r="F14" s="33" t="s">
        <v>3</v>
      </c>
      <c r="G14" s="1"/>
    </row>
    <row r="15" spans="1:7" ht="17.100000000000001" customHeight="1" x14ac:dyDescent="0.45">
      <c r="A15" s="1"/>
      <c r="B15" s="27" t="s">
        <v>72</v>
      </c>
      <c r="C15" s="33"/>
      <c r="D15" s="33"/>
      <c r="E15" s="8">
        <f>-SUM(E9:E14)*'Fane 10. Nøgletal'!C18</f>
        <v>-29390.288743984387</v>
      </c>
      <c r="F15" s="33" t="s">
        <v>3</v>
      </c>
      <c r="G15" s="1"/>
    </row>
    <row r="16" spans="1:7" ht="15" customHeight="1" x14ac:dyDescent="0.45">
      <c r="A16" s="1"/>
      <c r="B16" s="40" t="s">
        <v>20</v>
      </c>
      <c r="C16" s="37"/>
      <c r="D16" s="37"/>
      <c r="E16" s="9">
        <f>SUM(E9:E15)</f>
        <v>1699450.2256080383</v>
      </c>
      <c r="F16" s="39" t="s">
        <v>3</v>
      </c>
      <c r="G16" s="1"/>
    </row>
    <row r="17" spans="1:7" ht="15" customHeight="1" x14ac:dyDescent="0.4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45">
      <c r="A18" s="1"/>
      <c r="B18" s="39" t="s">
        <v>12</v>
      </c>
      <c r="C18" s="39"/>
      <c r="D18" s="39"/>
      <c r="E18" s="9">
        <f>'Fane 4. Ikke-påvirkelige omk.'!C12</f>
        <v>10331.55050256</v>
      </c>
      <c r="F18" s="39" t="s">
        <v>3</v>
      </c>
      <c r="G18" s="1"/>
    </row>
    <row r="19" spans="1:7" ht="15" customHeight="1" x14ac:dyDescent="0.45">
      <c r="A19" s="1"/>
      <c r="B19" s="38" t="s">
        <v>52</v>
      </c>
      <c r="C19" s="38"/>
      <c r="D19" s="38"/>
      <c r="E19" s="38"/>
      <c r="F19" s="38"/>
      <c r="G19" s="1"/>
    </row>
    <row r="20" spans="1:7" ht="15" customHeight="1" x14ac:dyDescent="0.45">
      <c r="A20" s="1"/>
      <c r="B20" s="27" t="s">
        <v>49</v>
      </c>
      <c r="C20" s="33"/>
      <c r="D20" s="33"/>
      <c r="E20" s="8">
        <f>'Fane 7.2. Engangstillæg'!C13</f>
        <v>0</v>
      </c>
      <c r="F20" s="33" t="s">
        <v>3</v>
      </c>
      <c r="G20" s="1"/>
    </row>
    <row r="21" spans="1:7" x14ac:dyDescent="0.45">
      <c r="A21" s="1"/>
      <c r="B21" s="27" t="s">
        <v>50</v>
      </c>
      <c r="C21" s="33"/>
      <c r="D21" s="33"/>
      <c r="E21" s="8">
        <f>'Fane 7.2. Engangstillæg'!E13</f>
        <v>0</v>
      </c>
      <c r="F21" s="33" t="s">
        <v>3</v>
      </c>
      <c r="G21" s="1"/>
    </row>
    <row r="22" spans="1:7" ht="15" customHeight="1" x14ac:dyDescent="0.45">
      <c r="A22" s="1"/>
      <c r="B22" s="40" t="s">
        <v>53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45">
      <c r="A23" s="1"/>
      <c r="B23" s="38" t="s">
        <v>124</v>
      </c>
      <c r="C23" s="38"/>
      <c r="D23" s="38"/>
      <c r="E23" s="38"/>
      <c r="F23" s="38"/>
      <c r="G23" s="1"/>
    </row>
    <row r="24" spans="1:7" x14ac:dyDescent="0.45">
      <c r="A24" s="1"/>
      <c r="B24" s="40" t="s">
        <v>36</v>
      </c>
      <c r="C24" s="37"/>
      <c r="D24" s="37"/>
      <c r="E24" s="9">
        <f>'Fane 5. Kontrol af ØR2019'!E42</f>
        <v>-198703.5558496369</v>
      </c>
      <c r="F24" s="39" t="s">
        <v>3</v>
      </c>
      <c r="G24" s="1"/>
    </row>
    <row r="25" spans="1:7" x14ac:dyDescent="0.45">
      <c r="A25" s="1"/>
      <c r="B25" s="40" t="s">
        <v>125</v>
      </c>
      <c r="C25" s="37"/>
      <c r="D25" s="37"/>
      <c r="E25" s="9">
        <f>'Fane 5. Kontrol af ØR2019'!E43</f>
        <v>0</v>
      </c>
      <c r="F25" s="39" t="s">
        <v>3</v>
      </c>
      <c r="G25" s="1"/>
    </row>
    <row r="26" spans="1:7" x14ac:dyDescent="0.45">
      <c r="A26" s="1"/>
      <c r="B26" s="38" t="s">
        <v>28</v>
      </c>
      <c r="C26" s="38"/>
      <c r="D26" s="38"/>
      <c r="E26" s="10">
        <f>SUM(E16,E18,E22,E24,E25)</f>
        <v>1511078.2202609614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45">
      <c r="A9" s="1"/>
      <c r="B9" s="33" t="s">
        <v>27</v>
      </c>
      <c r="C9" s="33"/>
      <c r="D9" s="33"/>
      <c r="E9" s="7">
        <f>'Fane 2.1. Økonomisk ramme 2021'!E16</f>
        <v>1699450.2256080383</v>
      </c>
      <c r="F9" s="33" t="s">
        <v>3</v>
      </c>
      <c r="G9" s="1"/>
    </row>
    <row r="10" spans="1:7" ht="15" customHeight="1" x14ac:dyDescent="0.45">
      <c r="A10" s="1"/>
      <c r="B10" s="27" t="s">
        <v>82</v>
      </c>
      <c r="C10" s="33"/>
      <c r="D10" s="33"/>
      <c r="E10" s="7">
        <f>-('Fane 9. Bortfald'!C18+'Fane 9. Bortfald'!E18)</f>
        <v>0</v>
      </c>
      <c r="F10" s="33" t="s">
        <v>3</v>
      </c>
      <c r="G10" s="1"/>
    </row>
    <row r="11" spans="1:7" ht="15" customHeight="1" x14ac:dyDescent="0.45">
      <c r="A11" s="1"/>
      <c r="B11" s="34" t="s">
        <v>18</v>
      </c>
      <c r="C11" s="33"/>
      <c r="D11" s="33"/>
      <c r="E11" s="8">
        <f>SUM(E9:E10)*'Fane 10. Nøgletal'!C13</f>
        <v>20733.292752418067</v>
      </c>
      <c r="F11" s="33" t="s">
        <v>3</v>
      </c>
      <c r="G11" s="1"/>
    </row>
    <row r="12" spans="1:7" ht="15" customHeight="1" x14ac:dyDescent="0.45">
      <c r="A12" s="1"/>
      <c r="B12" s="34" t="s">
        <v>72</v>
      </c>
      <c r="C12" s="33"/>
      <c r="D12" s="33"/>
      <c r="E12" s="8">
        <f>-SUM(E9:E11)*'Fane 10. Nøgletal'!C18</f>
        <v>-29243.119812127759</v>
      </c>
      <c r="F12" s="33" t="s">
        <v>3</v>
      </c>
      <c r="G12" s="1"/>
    </row>
    <row r="13" spans="1:7" ht="15" customHeight="1" x14ac:dyDescent="0.45">
      <c r="A13" s="1"/>
      <c r="B13" s="37" t="s">
        <v>20</v>
      </c>
      <c r="C13" s="37"/>
      <c r="D13" s="37"/>
      <c r="E13" s="9">
        <f>SUM(E9:E12)</f>
        <v>1690940.3985483286</v>
      </c>
      <c r="F13" s="39" t="s">
        <v>3</v>
      </c>
      <c r="G13" s="1"/>
    </row>
    <row r="14" spans="1:7" x14ac:dyDescent="0.4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45">
      <c r="A15" s="1"/>
      <c r="B15" s="39" t="s">
        <v>12</v>
      </c>
      <c r="C15" s="39"/>
      <c r="D15" s="39"/>
      <c r="E15" s="9">
        <f>'Fane 4. Ikke-påvirkelige omk.'!C12*(1+'Fane 10. Nøgletal'!C13)</f>
        <v>10457.595418691231</v>
      </c>
      <c r="F15" s="39" t="s">
        <v>3</v>
      </c>
      <c r="G15" s="1"/>
    </row>
    <row r="16" spans="1:7" ht="15" customHeight="1" x14ac:dyDescent="0.45">
      <c r="A16" s="1"/>
      <c r="B16" s="38" t="s">
        <v>52</v>
      </c>
      <c r="C16" s="38"/>
      <c r="D16" s="38"/>
      <c r="E16" s="38"/>
      <c r="F16" s="38"/>
      <c r="G16" s="1"/>
    </row>
    <row r="17" spans="1:7" ht="15" customHeight="1" x14ac:dyDescent="0.45">
      <c r="A17" s="1"/>
      <c r="B17" s="27" t="s">
        <v>49</v>
      </c>
      <c r="C17" s="33"/>
      <c r="D17" s="33"/>
      <c r="E17" s="8">
        <f>'Fane 7.2. Engangstillæg'!C20</f>
        <v>0</v>
      </c>
      <c r="F17" s="33" t="s">
        <v>3</v>
      </c>
      <c r="G17" s="1"/>
    </row>
    <row r="18" spans="1:7" ht="15" customHeight="1" x14ac:dyDescent="0.45">
      <c r="A18" s="1"/>
      <c r="B18" s="27" t="s">
        <v>50</v>
      </c>
      <c r="C18" s="33"/>
      <c r="D18" s="33"/>
      <c r="E18" s="8">
        <f>'Fane 7.2. Engangstillæg'!E20</f>
        <v>0</v>
      </c>
      <c r="F18" s="33" t="s">
        <v>3</v>
      </c>
      <c r="G18" s="1"/>
    </row>
    <row r="19" spans="1:7" ht="15" customHeight="1" x14ac:dyDescent="0.45">
      <c r="A19" s="1"/>
      <c r="B19" s="40" t="s">
        <v>53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45">
      <c r="A20" s="1"/>
      <c r="B20" s="38" t="s">
        <v>124</v>
      </c>
      <c r="C20" s="38"/>
      <c r="D20" s="38"/>
      <c r="E20" s="38"/>
      <c r="F20" s="38"/>
      <c r="G20" s="1"/>
    </row>
    <row r="21" spans="1:7" ht="15" customHeight="1" x14ac:dyDescent="0.45">
      <c r="A21" s="1"/>
      <c r="B21" s="39" t="s">
        <v>36</v>
      </c>
      <c r="C21" s="39"/>
      <c r="D21" s="39"/>
      <c r="E21" s="9">
        <f>'Fane 5. Kontrol af ØR2019'!E42</f>
        <v>-198703.5558496369</v>
      </c>
      <c r="F21" s="39" t="s">
        <v>3</v>
      </c>
      <c r="G21" s="1"/>
    </row>
    <row r="22" spans="1:7" x14ac:dyDescent="0.45">
      <c r="A22" s="1"/>
      <c r="B22" s="40" t="s">
        <v>125</v>
      </c>
      <c r="C22" s="39"/>
      <c r="D22" s="39"/>
      <c r="E22" s="9">
        <f>'Fane 5. Kontrol af ØR2019'!E43</f>
        <v>0</v>
      </c>
      <c r="F22" s="39" t="s">
        <v>3</v>
      </c>
      <c r="G22" s="1"/>
    </row>
    <row r="23" spans="1:7" x14ac:dyDescent="0.45">
      <c r="A23" s="1"/>
      <c r="B23" s="38" t="s">
        <v>29</v>
      </c>
      <c r="C23" s="38"/>
      <c r="D23" s="38"/>
      <c r="E23" s="10">
        <f>SUM(E13,E15,E19,E21,E22)</f>
        <v>1502694.4381173828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92</v>
      </c>
      <c r="C8" s="33"/>
      <c r="D8" s="33"/>
      <c r="E8" s="7">
        <f>'Fane 2.2. Økonomisk ramme 2022'!E13</f>
        <v>1690940.3985483286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Bortfald'!C24+'Fane 9. Bortfald'!E24)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20629.472862289611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-29096.687813980509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1682473.1835966376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omk.'!C12*(1+'Fane 10. Nøgletal'!C13)^2</f>
        <v>10585.178082799264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Engangstillæg'!C27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Engangstillæg'!E27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57</v>
      </c>
      <c r="C19" s="38"/>
      <c r="D19" s="38"/>
      <c r="E19" s="10">
        <f>SUM(E12,E14,E18)</f>
        <v>1693058.3616794369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33" t="s">
        <v>94</v>
      </c>
      <c r="C8" s="33"/>
      <c r="D8" s="33"/>
      <c r="E8" s="7">
        <f>'Fane 2.3. Økonomisk ramme 2023'!E12</f>
        <v>1682473.1835966376</v>
      </c>
      <c r="F8" s="33" t="s">
        <v>3</v>
      </c>
      <c r="G8" s="1"/>
    </row>
    <row r="9" spans="1:7" ht="15" customHeight="1" x14ac:dyDescent="0.45">
      <c r="A9" s="1"/>
      <c r="B9" s="33" t="s">
        <v>82</v>
      </c>
      <c r="C9" s="33"/>
      <c r="D9" s="33"/>
      <c r="E9" s="7">
        <f>-('Fane 9. Bortfald'!C30+'Fane 9. Bortfald'!E30)</f>
        <v>0</v>
      </c>
      <c r="F9" s="33" t="s">
        <v>3</v>
      </c>
      <c r="G9" s="1"/>
    </row>
    <row r="10" spans="1:7" ht="15" customHeight="1" x14ac:dyDescent="0.45">
      <c r="A10" s="1"/>
      <c r="B10" s="34" t="s">
        <v>18</v>
      </c>
      <c r="C10" s="33"/>
      <c r="D10" s="33"/>
      <c r="E10" s="8">
        <f>SUM(E8:E9)*'Fane 10. Nøgletal'!C13</f>
        <v>20526.172839878978</v>
      </c>
      <c r="F10" s="33" t="s">
        <v>3</v>
      </c>
      <c r="G10" s="1"/>
    </row>
    <row r="11" spans="1:7" ht="15" customHeight="1" x14ac:dyDescent="0.45">
      <c r="A11" s="1"/>
      <c r="B11" s="34" t="s">
        <v>72</v>
      </c>
      <c r="C11" s="33"/>
      <c r="D11" s="33"/>
      <c r="E11" s="8">
        <f>-SUM(E8:E10)*'Fane 10. Nøgletal'!C18</f>
        <v>-28950.989059420786</v>
      </c>
      <c r="F11" s="33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1674048.3673770959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omk.'!C12*(1+'Fane 10. Nøgletal'!C13)^3</f>
        <v>10714.317255409416</v>
      </c>
      <c r="F14" s="39" t="s">
        <v>3</v>
      </c>
      <c r="G14" s="1"/>
    </row>
    <row r="15" spans="1:7" ht="15" customHeight="1" x14ac:dyDescent="0.45">
      <c r="A15" s="1"/>
      <c r="B15" s="38" t="s">
        <v>52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7" t="s">
        <v>49</v>
      </c>
      <c r="C16" s="33"/>
      <c r="D16" s="33"/>
      <c r="E16" s="8">
        <f>'Fane 7.2. Engangstillæg'!C34</f>
        <v>0</v>
      </c>
      <c r="F16" s="33" t="s">
        <v>3</v>
      </c>
      <c r="G16" s="1"/>
    </row>
    <row r="17" spans="1:7" ht="15" customHeight="1" x14ac:dyDescent="0.45">
      <c r="A17" s="1"/>
      <c r="B17" s="27" t="s">
        <v>50</v>
      </c>
      <c r="C17" s="33"/>
      <c r="D17" s="33"/>
      <c r="E17" s="8">
        <f>'Fane 7.2. Engangstillæg'!E34</f>
        <v>0</v>
      </c>
      <c r="F17" s="33" t="s">
        <v>3</v>
      </c>
      <c r="G17" s="1"/>
    </row>
    <row r="18" spans="1:7" ht="15" customHeight="1" x14ac:dyDescent="0.45">
      <c r="A18" s="1"/>
      <c r="B18" s="40" t="s">
        <v>53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95</v>
      </c>
      <c r="C19" s="38"/>
      <c r="D19" s="38"/>
      <c r="E19" s="10">
        <f>SUM(E12,E14,E18)</f>
        <v>1684762.6846325053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8" t="s">
        <v>96</v>
      </c>
      <c r="C3" s="78"/>
      <c r="D3" s="78"/>
      <c r="E3" s="78"/>
      <c r="F3" s="78"/>
      <c r="G3" s="1"/>
    </row>
    <row r="4" spans="1:7" ht="29.25" customHeight="1" x14ac:dyDescent="0.45">
      <c r="A4" s="1"/>
      <c r="B4" s="78"/>
      <c r="C4" s="78"/>
      <c r="D4" s="78"/>
      <c r="E4" s="78"/>
      <c r="F4" s="7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97</v>
      </c>
      <c r="C8" s="38"/>
      <c r="D8" s="38"/>
      <c r="E8" s="38"/>
      <c r="F8" s="38"/>
      <c r="G8" s="1"/>
    </row>
    <row r="9" spans="1:7" x14ac:dyDescent="0.45">
      <c r="A9" s="1"/>
      <c r="B9" s="79" t="s">
        <v>24</v>
      </c>
      <c r="C9" s="79"/>
      <c r="D9" s="79"/>
      <c r="E9" s="7">
        <v>1703656.1225172218</v>
      </c>
      <c r="F9" s="33" t="s">
        <v>3</v>
      </c>
      <c r="G9" s="1"/>
    </row>
    <row r="10" spans="1:7" x14ac:dyDescent="0.45">
      <c r="A10" s="1"/>
      <c r="B10" s="67" t="s">
        <v>149</v>
      </c>
      <c r="C10" s="67"/>
      <c r="D10" s="67"/>
      <c r="E10" s="7">
        <v>0</v>
      </c>
      <c r="F10" s="33" t="s">
        <v>3</v>
      </c>
      <c r="G10" s="1"/>
    </row>
    <row r="11" spans="1:7" x14ac:dyDescent="0.45">
      <c r="A11" s="1"/>
      <c r="B11" s="67" t="s">
        <v>150</v>
      </c>
      <c r="C11" s="67"/>
      <c r="D11" s="67"/>
      <c r="E11" s="7">
        <v>0</v>
      </c>
      <c r="F11" s="33" t="s">
        <v>3</v>
      </c>
      <c r="G11" s="1"/>
    </row>
    <row r="12" spans="1:7" x14ac:dyDescent="0.45">
      <c r="A12" s="1"/>
      <c r="B12" s="67" t="s">
        <v>80</v>
      </c>
      <c r="C12" s="67"/>
      <c r="D12" s="67"/>
      <c r="E12" s="7">
        <v>0</v>
      </c>
      <c r="F12" s="33" t="s">
        <v>3</v>
      </c>
      <c r="G12" s="1"/>
    </row>
    <row r="13" spans="1:7" x14ac:dyDescent="0.45">
      <c r="A13" s="1"/>
      <c r="B13" s="67" t="s">
        <v>81</v>
      </c>
      <c r="C13" s="67"/>
      <c r="D13" s="67"/>
      <c r="E13" s="8">
        <v>0</v>
      </c>
      <c r="F13" s="33" t="s">
        <v>3</v>
      </c>
      <c r="G13" s="1"/>
    </row>
    <row r="14" spans="1:7" x14ac:dyDescent="0.4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21636.432755968715</v>
      </c>
      <c r="F14" s="33" t="s">
        <v>3</v>
      </c>
      <c r="G14" s="1"/>
    </row>
    <row r="15" spans="1:7" x14ac:dyDescent="0.45">
      <c r="A15" s="1"/>
      <c r="B15" s="67" t="s">
        <v>72</v>
      </c>
      <c r="C15" s="67"/>
      <c r="D15" s="67"/>
      <c r="E15" s="8">
        <f>-SUM(E9:E9,E12:E14)*'Fane 10. Nøgletal'!C18</f>
        <v>-29329.973439644244</v>
      </c>
      <c r="F15" s="33" t="s">
        <v>3</v>
      </c>
      <c r="G15" s="1"/>
    </row>
    <row r="16" spans="1:7" x14ac:dyDescent="0.45">
      <c r="A16" s="1"/>
      <c r="B16" s="69" t="s">
        <v>20</v>
      </c>
      <c r="C16" s="69"/>
      <c r="D16" s="69"/>
      <c r="E16" s="9">
        <f>SUM(E9,E12:E15)</f>
        <v>1695962.5818335463</v>
      </c>
      <c r="F16" s="39" t="s">
        <v>3</v>
      </c>
      <c r="G16" s="1"/>
    </row>
    <row r="17" spans="1:7" x14ac:dyDescent="0.45">
      <c r="A17" s="1"/>
      <c r="B17" s="70" t="s">
        <v>12</v>
      </c>
      <c r="C17" s="70"/>
      <c r="D17" s="70"/>
      <c r="E17" s="38"/>
      <c r="F17" s="38"/>
      <c r="G17" s="1"/>
    </row>
    <row r="18" spans="1:7" x14ac:dyDescent="0.45">
      <c r="A18" s="1"/>
      <c r="B18" s="71" t="s">
        <v>12</v>
      </c>
      <c r="C18" s="71"/>
      <c r="D18" s="71"/>
      <c r="E18" s="9">
        <v>4924.4363942400005</v>
      </c>
      <c r="F18" s="39" t="s">
        <v>3</v>
      </c>
      <c r="G18" s="1"/>
    </row>
    <row r="19" spans="1:7" x14ac:dyDescent="0.45">
      <c r="A19" s="1"/>
      <c r="B19" s="38" t="s">
        <v>52</v>
      </c>
      <c r="C19" s="38"/>
      <c r="D19" s="38"/>
      <c r="E19" s="38"/>
      <c r="F19" s="38"/>
      <c r="G19" s="1"/>
    </row>
    <row r="20" spans="1:7" ht="15.4" customHeight="1" x14ac:dyDescent="0.45">
      <c r="A20" s="1"/>
      <c r="B20" s="72" t="s">
        <v>49</v>
      </c>
      <c r="C20" s="73"/>
      <c r="D20" s="74"/>
      <c r="E20" s="31">
        <v>0</v>
      </c>
      <c r="F20" s="31" t="s">
        <v>3</v>
      </c>
      <c r="G20" s="1"/>
    </row>
    <row r="21" spans="1:7" ht="15.75" customHeight="1" x14ac:dyDescent="0.45">
      <c r="A21" s="1"/>
      <c r="B21" s="72" t="s">
        <v>50</v>
      </c>
      <c r="C21" s="73"/>
      <c r="D21" s="74"/>
      <c r="E21" s="31">
        <v>0</v>
      </c>
      <c r="F21" s="31" t="s">
        <v>3</v>
      </c>
      <c r="G21" s="1"/>
    </row>
    <row r="22" spans="1:7" x14ac:dyDescent="0.45">
      <c r="A22" s="1"/>
      <c r="B22" s="75" t="s">
        <v>53</v>
      </c>
      <c r="C22" s="76"/>
      <c r="D22" s="77"/>
      <c r="E22" s="9">
        <v>0</v>
      </c>
      <c r="F22" s="9" t="s">
        <v>3</v>
      </c>
      <c r="G22" s="1"/>
    </row>
    <row r="23" spans="1:7" x14ac:dyDescent="0.45">
      <c r="A23" s="1"/>
      <c r="B23" s="38" t="s">
        <v>145</v>
      </c>
      <c r="C23" s="38"/>
      <c r="D23" s="38"/>
      <c r="E23" s="38"/>
      <c r="F23" s="38"/>
      <c r="G23" s="1"/>
    </row>
    <row r="24" spans="1:7" ht="15.75" customHeight="1" x14ac:dyDescent="0.45">
      <c r="A24" s="1"/>
      <c r="B24" s="64" t="s">
        <v>146</v>
      </c>
      <c r="C24" s="65"/>
      <c r="D24" s="66"/>
      <c r="E24" s="9">
        <v>-256858</v>
      </c>
      <c r="F24" s="9" t="s">
        <v>3</v>
      </c>
      <c r="G24" s="1"/>
    </row>
    <row r="25" spans="1:7" x14ac:dyDescent="0.45">
      <c r="A25" s="1"/>
      <c r="B25" s="38" t="s">
        <v>147</v>
      </c>
      <c r="C25" s="38"/>
      <c r="D25" s="38"/>
      <c r="E25" s="38"/>
      <c r="F25" s="38"/>
      <c r="G25" s="1"/>
    </row>
    <row r="26" spans="1:7" ht="15.4" customHeight="1" x14ac:dyDescent="0.45">
      <c r="A26" s="1"/>
      <c r="B26" s="64" t="s">
        <v>148</v>
      </c>
      <c r="C26" s="65"/>
      <c r="D26" s="66"/>
      <c r="E26" s="9">
        <v>0</v>
      </c>
      <c r="F26" s="39" t="s">
        <v>3</v>
      </c>
      <c r="G26" s="1"/>
    </row>
    <row r="27" spans="1:7" x14ac:dyDescent="0.45">
      <c r="A27" s="1"/>
      <c r="B27" s="38" t="s">
        <v>25</v>
      </c>
      <c r="C27" s="38"/>
      <c r="D27" s="38"/>
      <c r="E27" s="10">
        <f>E16+E18+E22+E24+E26</f>
        <v>1444029.0182277863</v>
      </c>
      <c r="F27" s="11" t="s">
        <v>3</v>
      </c>
      <c r="G27" s="1"/>
    </row>
    <row r="28" spans="1:7" ht="28.5" customHeight="1" x14ac:dyDescent="0.45">
      <c r="A28" s="1"/>
      <c r="B28" s="68" t="s">
        <v>98</v>
      </c>
      <c r="C28" s="68"/>
      <c r="D28" s="68"/>
      <c r="E28" s="68"/>
      <c r="F28" s="68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9" t="s">
        <v>100</v>
      </c>
      <c r="D9" s="39"/>
      <c r="E9" s="1"/>
      <c r="F9" s="1"/>
    </row>
    <row r="10" spans="1:6" x14ac:dyDescent="0.45">
      <c r="A10" s="1"/>
      <c r="B10" s="26" t="s">
        <v>154</v>
      </c>
      <c r="C10" s="8">
        <v>10084</v>
      </c>
      <c r="D10" s="12" t="s">
        <v>3</v>
      </c>
      <c r="E10" s="1"/>
      <c r="F10" s="1"/>
    </row>
    <row r="11" spans="1:6" x14ac:dyDescent="0.45">
      <c r="A11" s="1"/>
      <c r="B11" s="43" t="s">
        <v>101</v>
      </c>
      <c r="C11" s="10">
        <f>SUM(C10:C10)</f>
        <v>10084</v>
      </c>
      <c r="D11" s="11" t="s">
        <v>3</v>
      </c>
      <c r="E11" s="1"/>
      <c r="F11" s="1"/>
    </row>
    <row r="12" spans="1:6" x14ac:dyDescent="0.45">
      <c r="A12" s="1"/>
      <c r="B12" s="43" t="s">
        <v>102</v>
      </c>
      <c r="C12" s="10">
        <f>C11*(1+'Fane 10. Nøgletal'!C13)^2</f>
        <v>10331.55050256</v>
      </c>
      <c r="D12" s="11" t="s">
        <v>3</v>
      </c>
      <c r="E12" s="1"/>
      <c r="F12" s="1"/>
    </row>
    <row r="13" spans="1:6" x14ac:dyDescent="0.45">
      <c r="A13" s="1"/>
      <c r="B13" s="14"/>
      <c r="C13" s="13"/>
      <c r="D13" s="13"/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"/>
      <c r="C15" s="1"/>
      <c r="D15" s="1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8" t="s">
        <v>116</v>
      </c>
      <c r="C3" s="78"/>
      <c r="D3" s="78"/>
      <c r="E3" s="78"/>
      <c r="F3" s="78"/>
      <c r="G3" s="1"/>
    </row>
    <row r="4" spans="1:7" ht="15" customHeight="1" x14ac:dyDescent="0.45">
      <c r="A4" s="1"/>
      <c r="B4" s="78"/>
      <c r="C4" s="78"/>
      <c r="D4" s="78"/>
      <c r="E4" s="78"/>
      <c r="F4" s="78"/>
      <c r="G4" s="1"/>
    </row>
    <row r="5" spans="1:7" ht="15" customHeight="1" x14ac:dyDescent="0.45">
      <c r="A5" s="1"/>
      <c r="B5" s="32"/>
      <c r="C5" s="32"/>
      <c r="D5" s="32"/>
      <c r="E5" s="32"/>
      <c r="F5" s="32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4" t="s">
        <v>34</v>
      </c>
      <c r="C7" s="84"/>
      <c r="D7" s="84"/>
      <c r="E7" s="8">
        <v>-15031.5</v>
      </c>
      <c r="F7" s="12" t="s">
        <v>3</v>
      </c>
      <c r="G7" s="1"/>
    </row>
    <row r="8" spans="1:7" ht="15" customHeight="1" x14ac:dyDescent="0.45">
      <c r="A8" s="1"/>
      <c r="B8" s="84" t="s">
        <v>35</v>
      </c>
      <c r="C8" s="84"/>
      <c r="D8" s="84"/>
      <c r="E8" s="8">
        <v>-382375.61169927381</v>
      </c>
      <c r="F8" s="12" t="s">
        <v>3</v>
      </c>
      <c r="G8" s="1"/>
    </row>
    <row r="9" spans="1:7" ht="15" customHeight="1" x14ac:dyDescent="0.45">
      <c r="A9" s="1"/>
      <c r="B9" s="75" t="s">
        <v>76</v>
      </c>
      <c r="C9" s="76"/>
      <c r="D9" s="77"/>
      <c r="E9" s="9">
        <f>SUM(E7:E8)</f>
        <v>-397407.11169927381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68" t="s">
        <v>71</v>
      </c>
      <c r="C11" s="68"/>
      <c r="D11" s="68"/>
      <c r="E11" s="68"/>
      <c r="F11" s="68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4" t="s">
        <v>63</v>
      </c>
      <c r="C15" s="84"/>
      <c r="D15" s="84"/>
      <c r="E15" s="8">
        <v>784204.92100000009</v>
      </c>
      <c r="F15" s="12" t="s">
        <v>3</v>
      </c>
      <c r="G15" s="1"/>
    </row>
    <row r="16" spans="1:7" x14ac:dyDescent="0.45">
      <c r="A16" s="1"/>
      <c r="B16" s="84" t="s">
        <v>64</v>
      </c>
      <c r="C16" s="84"/>
      <c r="D16" s="84"/>
      <c r="E16" s="8">
        <v>608318</v>
      </c>
      <c r="F16" s="12" t="s">
        <v>3</v>
      </c>
      <c r="G16" s="1"/>
    </row>
    <row r="17" spans="1:7" x14ac:dyDescent="0.45">
      <c r="A17" s="1"/>
      <c r="B17" s="84" t="s">
        <v>33</v>
      </c>
      <c r="C17" s="84"/>
      <c r="D17" s="84"/>
      <c r="E17" s="8">
        <v>0</v>
      </c>
      <c r="F17" s="12" t="s">
        <v>3</v>
      </c>
      <c r="G17" s="1"/>
    </row>
    <row r="18" spans="1:7" x14ac:dyDescent="0.45">
      <c r="A18" s="1"/>
      <c r="B18" s="85" t="s">
        <v>136</v>
      </c>
      <c r="C18" s="85"/>
      <c r="D18" s="85"/>
      <c r="E18" s="9">
        <f>E15-(E16-E17)</f>
        <v>175886.92100000009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68" t="s">
        <v>70</v>
      </c>
      <c r="C20" s="68"/>
      <c r="D20" s="68"/>
      <c r="E20" s="68"/>
      <c r="F20" s="68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4" t="s">
        <v>45</v>
      </c>
      <c r="C23" s="84"/>
      <c r="D23" s="84"/>
      <c r="E23" s="8">
        <v>1461323.4687701061</v>
      </c>
      <c r="F23" s="12" t="s">
        <v>3</v>
      </c>
      <c r="G23" s="1"/>
    </row>
    <row r="24" spans="1:7" ht="15" customHeight="1" x14ac:dyDescent="0.45">
      <c r="A24" s="1"/>
      <c r="B24" s="84" t="s">
        <v>46</v>
      </c>
      <c r="C24" s="84"/>
      <c r="D24" s="84"/>
      <c r="E24" s="8">
        <v>527145</v>
      </c>
      <c r="F24" s="12" t="s">
        <v>3</v>
      </c>
      <c r="G24" s="1"/>
    </row>
    <row r="25" spans="1:7" ht="15" customHeight="1" x14ac:dyDescent="0.45">
      <c r="A25" s="1"/>
      <c r="B25" s="84" t="s">
        <v>33</v>
      </c>
      <c r="C25" s="84"/>
      <c r="D25" s="84"/>
      <c r="E25" s="8">
        <v>0</v>
      </c>
      <c r="F25" s="12" t="s">
        <v>3</v>
      </c>
      <c r="G25" s="1"/>
    </row>
    <row r="26" spans="1:7" x14ac:dyDescent="0.45">
      <c r="A26" s="1"/>
      <c r="B26" s="85" t="s">
        <v>137</v>
      </c>
      <c r="C26" s="85"/>
      <c r="D26" s="85"/>
      <c r="E26" s="9">
        <f>E23-(E24-E25)</f>
        <v>934178.46877010609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68" t="s">
        <v>126</v>
      </c>
      <c r="C28" s="68"/>
      <c r="D28" s="68"/>
      <c r="E28" s="68"/>
      <c r="F28" s="68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4" t="s">
        <v>128</v>
      </c>
      <c r="C31" s="84"/>
      <c r="D31" s="84"/>
      <c r="E31" s="8">
        <v>1453622.5888294745</v>
      </c>
      <c r="F31" s="12" t="s">
        <v>3</v>
      </c>
      <c r="G31" s="1"/>
    </row>
    <row r="32" spans="1:7" x14ac:dyDescent="0.45">
      <c r="A32" s="1"/>
      <c r="B32" s="84" t="s">
        <v>129</v>
      </c>
      <c r="C32" s="84"/>
      <c r="D32" s="84"/>
      <c r="E32" s="8">
        <v>1026303</v>
      </c>
      <c r="F32" s="12" t="s">
        <v>3</v>
      </c>
      <c r="G32" s="1"/>
    </row>
    <row r="33" spans="1:7" x14ac:dyDescent="0.45">
      <c r="A33" s="1"/>
      <c r="B33" s="84" t="s">
        <v>33</v>
      </c>
      <c r="C33" s="84"/>
      <c r="D33" s="84"/>
      <c r="E33" s="8">
        <v>0</v>
      </c>
      <c r="F33" s="12" t="s">
        <v>3</v>
      </c>
      <c r="G33" s="1"/>
    </row>
    <row r="34" spans="1:7" x14ac:dyDescent="0.45">
      <c r="A34" s="1"/>
      <c r="B34" s="85" t="s">
        <v>138</v>
      </c>
      <c r="C34" s="85"/>
      <c r="D34" s="85"/>
      <c r="E34" s="9">
        <f>E31-(E32-E33)</f>
        <v>427319.58882947452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9" t="s">
        <v>36</v>
      </c>
      <c r="C39" s="89"/>
      <c r="D39" s="89"/>
      <c r="E39" s="8">
        <f>E9</f>
        <v>-397407.11169927381</v>
      </c>
      <c r="F39" s="12" t="s">
        <v>3</v>
      </c>
      <c r="G39" s="1"/>
    </row>
    <row r="40" spans="1:7" x14ac:dyDescent="0.45">
      <c r="A40" s="1"/>
      <c r="B40" s="89" t="s">
        <v>135</v>
      </c>
      <c r="C40" s="89"/>
      <c r="D40" s="89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9" t="s">
        <v>73</v>
      </c>
      <c r="C41" s="89"/>
      <c r="D41" s="89"/>
      <c r="E41" s="8">
        <v>2</v>
      </c>
      <c r="F41" s="12" t="s">
        <v>19</v>
      </c>
      <c r="G41" s="1"/>
    </row>
    <row r="42" spans="1:7" x14ac:dyDescent="0.45">
      <c r="A42" s="1"/>
      <c r="B42" s="85" t="s">
        <v>133</v>
      </c>
      <c r="C42" s="85"/>
      <c r="D42" s="85"/>
      <c r="E42" s="9">
        <f>SUM(E39)/E41</f>
        <v>-198703.5558496369</v>
      </c>
      <c r="F42" s="15" t="s">
        <v>3</v>
      </c>
      <c r="G42" s="1"/>
    </row>
    <row r="43" spans="1:7" x14ac:dyDescent="0.4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30</v>
      </c>
      <c r="H9" s="42"/>
      <c r="I9" s="1"/>
    </row>
    <row r="10" spans="1:9" x14ac:dyDescent="0.45">
      <c r="A10" s="1"/>
      <c r="B10" s="45" t="s">
        <v>155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2020-10-13T08:12:04Z</dcterms:modified>
</cp:coreProperties>
</file>