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Tønder Vand AS (V190)\ØR2024\"/>
    </mc:Choice>
  </mc:AlternateContent>
  <xr:revisionPtr revIDLastSave="0" documentId="13_ncr:1_{5D14C244-F8B6-4140-B5E3-99F097AA9F3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1" l="1"/>
  <c r="E31" i="41" s="1"/>
  <c r="E33" i="41" s="1"/>
  <c r="C17" i="22" s="1"/>
  <c r="C17" i="15" l="1"/>
  <c r="E27" i="41"/>
  <c r="C29" i="2"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<sst xmlns="http://schemas.openxmlformats.org/spreadsheetml/2006/main" count="549" uniqueCount="262">
  <si>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</si>
  <si>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</si>
  <si>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</si>
  <si>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</si>
  <si>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</si>
  <si>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</si>
  <si>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</si>
  <si>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</si>
  <si>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</si>
  <si>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</si>
  <si>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</si>
  <si>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</si>
  <si>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</si>
  <si>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</si>
  <si>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</si>
  <si>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</si>
  <si>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</si>
  <si>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</si>
  <si>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</si>
  <si>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</si>
  <si>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</si>
  <si>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</si>
  <si>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</si>
  <si>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</si>
  <si>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</si>
  <si>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</si>
  <si>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</si>
  <si>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</si>
  <si>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</si>
  <si>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</si>
  <si>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</si>
  <si>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</si>
  <si>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</si>
  <si>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</si>
  <si>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</si>
  <si>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</si>
  <si>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</si>
  <si>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</si>
  <si>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</si>
  <si>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</si>
  <si>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</si>
  <si>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</si>
  <si>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</si>
  <si>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</si>
  <si>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</si>
  <si>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</si>
  <si>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</si>
  <si>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</si>
  <si>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</si>
  <si>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</si>
  <si>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</si>
  <si>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</si>
  <si>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</si>
  <si>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</si>
  <si>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</si>
  <si>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</si>
  <si>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</si>
  <si>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</si>
  <si>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</si>
  <si>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</si>
  <si>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</si>
  <si>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</si>
  <si>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</si>
  <si>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</si>
  <si>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</si>
  <si>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</si>
  <si>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</si>
  <si>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</si>
  <si>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</si>
  <si>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</si>
  <si>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</si>
  <si>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</si>
  <si>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</si>
  <si>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</si>
  <si>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</si>
  <si>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</si>
  <si>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</si>
  <si>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</si>
  <si>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</si>
  <si>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</si>
  <si>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</si>
  <si>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</si>
  <si>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</si>
  <si>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</si>
  <si>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</si>
  <si>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</si>
  <si>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</si>
  <si>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</si>
  <si>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</si>
  <si>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</si>
  <si>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</si>
  <si>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</si>
  <si>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</si>
  <si>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</si>
  <si>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</si>
  <si>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</si>
  <si>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</si>
  <si>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</si>
  <si>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</si>
  <si>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</si>
  <si>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</si>
  <si>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</si>
  <si>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</si>
  <si>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</si>
  <si>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</si>
  <si>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</si>
  <si>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</si>
  <si>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</si>
  <si>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</si>
  <si>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</si>
  <si>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</si>
  <si>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</si>
  <si>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</si>
  <si>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</si>
  <si>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</si>
  <si>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</si>
  <si>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</si>
  <si>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</si>
  <si>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</si>
  <si>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</si>
  <si>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</si>
  <si>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</si>
  <si>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</si>
  <si>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</si>
  <si>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</si>
  <si>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</si>
  <si>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</si>
  <si>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</si>
  <si>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</si>
  <si>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</si>
  <si>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</si>
  <si>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</si>
  <si>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</si>
  <si>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</si>
  <si>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</si>
  <si>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</si>
  <si>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</si>
  <si>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</si>
  <si>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</si>
  <si>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</si>
  <si>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</si>
  <si>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</si>
  <si>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</si>
  <si>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</si>
  <si>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</si>
  <si>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</si>
  <si>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</si>
  <si>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</si>
  <si>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</si>
  <si>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</si>
  <si>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</si>
  <si>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</si>
  <si>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</si>
  <si>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</si>
  <si>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</si>
  <si>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</si>
  <si>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</si>
  <si>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</si>
  <si>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</si>
  <si>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</si>
  <si>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</si>
  <si>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</si>
  <si>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</si>
  <si>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</si>
  <si>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</si>
  <si>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</si>
  <si>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</si>
  <si>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</si>
  <si>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</si>
  <si>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</si>
  <si>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</si>
  <si>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</si>
  <si>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</si>
  <si>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</si>
  <si>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</si>
  <si>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</si>
  <si>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</si>
  <si>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</si>
  <si>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</si>
  <si>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</si>
  <si>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</si>
  <si>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</si>
  <si>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</si>
  <si>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</si>
  <si>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</si>
  <si>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</si>
  <si>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</si>
  <si>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</si>
  <si>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</si>
  <si>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</si>
  <si>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</si>
  <si>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</si>
  <si>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</si>
  <si>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</si>
  <si>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</si>
  <si>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</si>
  <si>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</si>
  <si>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</si>
  <si>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</si>
  <si>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</si>
  <si>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</si>
  <si>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</si>
  <si>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</si>
  <si>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</si>
  <si>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</si>
  <si>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</si>
  <si>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</si>
  <si>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</si>
  <si>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</si>
  <si>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</si>
  <si>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</si>
  <si>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</si>
  <si>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</si>
  <si>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</si>
  <si>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</si>
  <si>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</si>
  <si>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</si>
  <si>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</si>
  <si>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</si>
  <si>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</si>
  <si>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</si>
  <si>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</si>
  <si>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</si>
  <si>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</si>
  <si>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</si>
  <si>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</si>
  <si>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</si>
  <si>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</si>
  <si>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</si>
  <si>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</si>
  <si>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</si>
  <si>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</si>
  <si>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</si>
  <si>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</si>
  <si>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</si>
  <si>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</si>
  <si>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</si>
  <si>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</si>
  <si>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</si>
  <si>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</si>
  <si>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</si>
  <si>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</si>
  <si>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</si>
  <si>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Byggemodninger</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</si>
  <si>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</si>
  <si>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</si>
  <si>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</si>
  <si>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</si>
  <si>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</si>
  <si>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</si>
  <si>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</si>
  <si>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</si>
  <si>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</si>
  <si>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</si>
  <si>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</si>
  <si>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</si>
  <si>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</si>
  <si>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</si>
  <si>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Afgift for ledningsført vand</t>
  </si>
  <si>
    <t>Afgift til Forsyningssekretariatet</t>
  </si>
  <si>
    <t>Ejendomsskat</t>
  </si>
  <si>
    <t xml:space="preserve">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</si>
</sst>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161GeN9RmL4dDksyK8K+EPL/67OLKj80OSUiD+ZFO3aLYUgaxDEmh4HOoZAU/wk5R9kNxB1t5HGgoOQYxeA2RA==" saltValue="ovLTcKe7ZdzMSpGgn0B8R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258</v>
      </c>
      <c r="C10" s="9">
        <v>10016806</v>
      </c>
      <c r="D10" s="14" t="s">
        <v>3</v>
      </c>
      <c r="E10" s="1"/>
      <c r="F10" s="1"/>
    </row>
    <row r="11" spans="1:6" x14ac:dyDescent="0.25">
      <c r="A11" s="1"/>
      <c r="B11" s="68" t="s">
        <v>259</v>
      </c>
      <c r="C11" s="9">
        <v>87900</v>
      </c>
      <c r="D11" s="14" t="s">
        <v>3</v>
      </c>
      <c r="E11" s="1"/>
      <c r="F11" s="1"/>
    </row>
    <row r="12" spans="1:6" x14ac:dyDescent="0.25">
      <c r="A12" s="1"/>
      <c r="B12" s="68" t="s">
        <v>260</v>
      </c>
      <c r="C12" s="9">
        <v>12275</v>
      </c>
      <c r="D12" s="14" t="s">
        <v>3</v>
      </c>
      <c r="E12" s="1"/>
      <c r="F12" s="1"/>
    </row>
    <row r="13" spans="1:6" x14ac:dyDescent="0.25">
      <c r="A13" s="1"/>
      <c r="B13" s="68" t="s">
        <v>261</v>
      </c>
      <c r="C13" s="9"/>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10116981</v>
      </c>
      <c r="D19" s="13" t="s">
        <v>3</v>
      </c>
      <c r="E19" s="1"/>
      <c r="F19" s="1"/>
    </row>
    <row r="20" spans="1:6" x14ac:dyDescent="0.25">
      <c r="A20" s="1"/>
      <c r="B20" s="52" t="s">
        <v>214</v>
      </c>
      <c r="C20" s="12">
        <f>C19*(1+'Fane 13. Nøgletal'!C16)^2</f>
        <v>11817935.256435839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2q4aFSl5nhKZVWE64I9v+Uw1OvR0g8/auh3amVm/QsxJzvBCPiKMU1/J+ymPJ4mSTnN+E0naA9fF8rEiLcUSXA==" saltValue="jesSg2dQ9Fdh3V+J/iwM/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6"/>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245</v>
      </c>
      <c r="C8" s="105"/>
      <c r="D8" s="105"/>
      <c r="E8" s="105"/>
      <c r="F8" s="106"/>
      <c r="G8" s="1"/>
    </row>
    <row r="9" spans="1:7" x14ac:dyDescent="0.25">
      <c r="A9" s="1"/>
      <c r="B9" s="98" t="s">
        <v>246</v>
      </c>
      <c r="C9" s="99"/>
      <c r="D9" s="100"/>
      <c r="E9" s="28">
        <v>845338.74683298171</v>
      </c>
      <c r="F9" s="14" t="s">
        <v>3</v>
      </c>
      <c r="G9" s="1"/>
    </row>
    <row r="10" spans="1:7" x14ac:dyDescent="0.25">
      <c r="A10" s="1"/>
      <c r="B10" s="52"/>
      <c r="C10" s="53"/>
      <c r="D10" s="53"/>
      <c r="E10" s="53"/>
      <c r="F10" s="19"/>
      <c r="G10" s="1"/>
    </row>
    <row r="11" spans="1:7" ht="54.75" customHeight="1" x14ac:dyDescent="0.25">
      <c r="A11" s="1"/>
      <c r="B11" s="120" t="s">
        <v>247</v>
      </c>
      <c r="C11" s="121"/>
      <c r="D11" s="121"/>
      <c r="E11" s="121"/>
      <c r="F11" s="122"/>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248</v>
      </c>
      <c r="C14" s="99"/>
      <c r="D14" s="100"/>
      <c r="E14" s="9">
        <v>0</v>
      </c>
      <c r="F14" s="14" t="s">
        <v>3</v>
      </c>
      <c r="G14" s="1"/>
    </row>
    <row r="15" spans="1:7" x14ac:dyDescent="0.25">
      <c r="A15" s="1"/>
      <c r="B15" s="98" t="s">
        <v>249</v>
      </c>
      <c r="C15" s="99"/>
      <c r="D15" s="100"/>
      <c r="E15" s="9">
        <v>0</v>
      </c>
      <c r="F15" s="14" t="s">
        <v>3</v>
      </c>
      <c r="G15" s="1"/>
    </row>
    <row r="16" spans="1:7" x14ac:dyDescent="0.25">
      <c r="A16" s="1"/>
      <c r="B16" s="52"/>
      <c r="C16" s="53"/>
      <c r="D16" s="53"/>
      <c r="E16" s="53"/>
      <c r="F16" s="19"/>
      <c r="G16" s="1"/>
    </row>
    <row r="17" spans="1:7" ht="27.75" customHeight="1" x14ac:dyDescent="0.25">
      <c r="A17" s="1"/>
      <c r="B17" s="120" t="s">
        <v>250</v>
      </c>
      <c r="C17" s="121"/>
      <c r="D17" s="121"/>
      <c r="E17" s="121"/>
      <c r="F17" s="122"/>
      <c r="G17" s="1"/>
    </row>
    <row r="18" spans="1:7" x14ac:dyDescent="0.25">
      <c r="A18" s="1"/>
      <c r="B18" s="1"/>
      <c r="C18" s="1"/>
      <c r="D18" s="1"/>
      <c r="E18" s="1"/>
      <c r="F18" s="1"/>
      <c r="G18" s="1"/>
    </row>
    <row r="19" spans="1:7" x14ac:dyDescent="0.25">
      <c r="A19" s="1"/>
      <c r="B19" s="62" t="s">
        <v>251</v>
      </c>
      <c r="C19" s="63"/>
      <c r="D19" s="63"/>
      <c r="E19" s="63"/>
      <c r="F19" s="64"/>
      <c r="G19" s="1"/>
    </row>
    <row r="20" spans="1:7" x14ac:dyDescent="0.25">
      <c r="A20" s="1"/>
      <c r="B20" s="65" t="s">
        <v>252</v>
      </c>
      <c r="C20" s="66"/>
      <c r="D20" s="67"/>
      <c r="E20" s="9">
        <v>28697144.477160282</v>
      </c>
      <c r="F20" s="14" t="s">
        <v>3</v>
      </c>
      <c r="G20" s="1"/>
    </row>
    <row r="21" spans="1:7" x14ac:dyDescent="0.25">
      <c r="A21" s="1"/>
      <c r="B21" s="65" t="s">
        <v>253</v>
      </c>
      <c r="C21" s="66"/>
      <c r="D21" s="67"/>
      <c r="E21" s="9">
        <v>30053252</v>
      </c>
      <c r="F21" s="14" t="s">
        <v>3</v>
      </c>
      <c r="G21" s="1"/>
    </row>
    <row r="22" spans="1:7" x14ac:dyDescent="0.25">
      <c r="A22" s="1"/>
      <c r="B22" s="65" t="s">
        <v>29</v>
      </c>
      <c r="C22" s="66"/>
      <c r="D22" s="67"/>
      <c r="E22" s="9">
        <v>0</v>
      </c>
      <c r="F22" s="14" t="s">
        <v>3</v>
      </c>
      <c r="G22" s="1"/>
    </row>
    <row r="23" spans="1:7" x14ac:dyDescent="0.25">
      <c r="A23" s="1"/>
      <c r="B23" s="70" t="s">
        <v>254</v>
      </c>
      <c r="C23" s="71"/>
      <c r="D23" s="72"/>
      <c r="E23" s="10">
        <f>E20-(E21-E22)</f>
        <v>-1356107.5228397176</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4" t="s">
        <v>255</v>
      </c>
      <c r="C26" s="105"/>
      <c r="D26" s="105"/>
      <c r="E26" s="105"/>
      <c r="F26" s="106"/>
      <c r="G26" s="1"/>
    </row>
    <row r="27" spans="1:7" x14ac:dyDescent="0.25">
      <c r="A27" s="1"/>
      <c r="B27" s="123" t="s">
        <v>256</v>
      </c>
      <c r="C27" s="124"/>
      <c r="D27" s="125"/>
      <c r="E27" s="59">
        <f>IF(AND(E15&lt;0,E23&gt;0,ABS(SUM(E14:E15))&lt;E23),ABS(E14),IF(AND(E15&lt;0,E23&gt;0,ABS(SUM(E14:E15))&gt;E23),SUM(E14,E23),0))</f>
        <v>0</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257</v>
      </c>
      <c r="C30" s="105"/>
      <c r="D30" s="105"/>
      <c r="E30" s="105"/>
      <c r="F30" s="106"/>
      <c r="G30" s="1"/>
    </row>
    <row r="31" spans="1:7" x14ac:dyDescent="0.25">
      <c r="A31" s="1"/>
      <c r="B31" s="126" t="s">
        <v>117</v>
      </c>
      <c r="C31" s="127"/>
      <c r="D31" s="128"/>
      <c r="E31" s="60">
        <f>IF(AND(E9&gt;0,(E9+E23)&gt;0),0,IF(AND(E9&gt;0,(E9+E23)&lt;0),(E9+E23),IF(AND(E9&lt;0,E23&lt;0),E23,0)))</f>
        <v>-510768.77600673586</v>
      </c>
      <c r="F31" s="14" t="s">
        <v>3</v>
      </c>
      <c r="G31" s="1"/>
    </row>
    <row r="32" spans="1:7" x14ac:dyDescent="0.25">
      <c r="A32" s="1"/>
      <c r="B32" s="126" t="s">
        <v>85</v>
      </c>
      <c r="C32" s="127"/>
      <c r="D32" s="128"/>
      <c r="E32" s="9">
        <v>2</v>
      </c>
      <c r="F32" s="14" t="s">
        <v>18</v>
      </c>
      <c r="G32" s="1"/>
    </row>
    <row r="33" spans="1:7" x14ac:dyDescent="0.25">
      <c r="A33" s="1"/>
      <c r="B33" s="116" t="s">
        <v>116</v>
      </c>
      <c r="C33" s="116"/>
      <c r="D33" s="116"/>
      <c r="E33" s="59">
        <f>E31/E32</f>
        <v>-255384.38800336793</v>
      </c>
      <c r="F33" s="17" t="s">
        <v>3</v>
      </c>
      <c r="G33" s="1"/>
    </row>
    <row r="34" spans="1:7" x14ac:dyDescent="0.25">
      <c r="A34" s="1"/>
      <c r="B34" s="117"/>
      <c r="C34" s="118"/>
      <c r="D34" s="118"/>
      <c r="E34" s="118"/>
      <c r="F34" s="11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9ebKXK0WhZEM8tEDmTkt6RfuV+TZ+xwvzbfalztvQFksax/ZWd2PxHlX/zMjRxeJ7UwA6pZAoVUH/rFIKI0XcQ==" saltValue="j7s+XGL6uulXv7vChXsnKA==" spinCount="100000" sheet="1" objects="1" scenarios="1"/>
  <mergeCells count="16">
    <mergeCell ref="B13:F13"/>
    <mergeCell ref="B3:F4"/>
    <mergeCell ref="B8:F8"/>
    <mergeCell ref="B9:D9"/>
    <mergeCell ref="B11:F11"/>
    <mergeCell ref="B33:D33"/>
    <mergeCell ref="B34:F34"/>
    <mergeCell ref="B14:D14"/>
    <mergeCell ref="B15:D15"/>
    <mergeCell ref="B17:F17"/>
    <mergeCell ref="B26:F26"/>
    <mergeCell ref="B27:D27"/>
    <mergeCell ref="B31:D31"/>
    <mergeCell ref="B28:F28"/>
    <mergeCell ref="B30:F30"/>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59FmgOeskYYDVp3vN8kwgKYi+1P7MSw6jGHFpz82kf+hvpyLEKxT7TVmWAqH6ptSAy2zwxXRKoGQqfc3dOtew==" saltValue="O9aPS2mCg5OOLcgRm702i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XfBbwrfF1KDrqzsfhooILteBKPz6PjRUKoSPpoOD7deDBlHEhEdOZk3geMd3g4fSBCQenutALFWVyR0Obp5wYA==" saltValue="Fuyg61thkiH6bQeEiMLfd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51667</v>
      </c>
      <c r="D11" s="14" t="s">
        <v>3</v>
      </c>
      <c r="E11" s="9">
        <v>7263</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51667</v>
      </c>
      <c r="D17" s="13" t="s">
        <v>3</v>
      </c>
      <c r="E17" s="12">
        <f>SUM(E10:E16)</f>
        <v>7263</v>
      </c>
      <c r="F17" s="13" t="s">
        <v>3</v>
      </c>
      <c r="G17" s="1"/>
    </row>
    <row r="18" spans="1:7" x14ac:dyDescent="0.25">
      <c r="A18" s="1"/>
      <c r="B18" s="52" t="s">
        <v>209</v>
      </c>
      <c r="C18" s="12">
        <f>C17*(1+'Fane 13. Nøgletal'!C16)</f>
        <v>55841.693599999999</v>
      </c>
      <c r="D18" s="13" t="s">
        <v>3</v>
      </c>
      <c r="E18" s="12">
        <f>E17*(1+'Fane 13. Nøgletal'!C16)</f>
        <v>7849.8504000000003</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YNxhlVa5/4PLebns0q3LMhmrKUCEC51hYegnTwL1ZRbrJmYvYOeHlTOy/W7OKxDfRph75nHt6IW0zBPweXXW5A==" saltValue="OR0yFpGQI/hq/3MV0iDl2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t="s">
        <v>244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3UBX2TG+nY+8N8QS8Vx4RZU6KRv4qzZdHqr1boEH5QZuDtUHircZcqqUXJ0IrPIfa2lYrzIYjIiRx+yDV0OIA==" saltValue="Wk+V0X3rnQ4Mpv8rw1sS1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VsADa3lkX6PdL6qxI9vZBrHe4cGwqmHbFt9MN8dX0UeWHIYnuUzYOYaFSouu3QH2iwWAnASNNz65woClVmqhQ==" saltValue="VhnFtdc5bnhyvm1MtysQE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rgvUgX871awQLyvQ+bIb1geFJqWVppQn7xLezvxTgTYna4xFb5iklRPtDh6VJr6hf0LpUZWls9Q9jiSIk3qUw==" saltValue="/oliPAuqayQxJOBw2ua/X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x8UOhctfGRoJ3tttkxtF5MBvFqHZPDQjHEVbVvPFjpY5H9+FSOGhdRNyXL+fA1NV9wjY4MFQxtHc9mSWhP5KuQ==" saltValue="lGSPsnwgBm3I1DRNkCkpD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20017575.549678635</v>
      </c>
      <c r="D8" s="8" t="s">
        <v>3</v>
      </c>
      <c r="E8" s="1"/>
    </row>
    <row r="9" spans="1:5" ht="17.100000000000001" customHeight="1" x14ac:dyDescent="0.25">
      <c r="A9" s="1"/>
      <c r="B9" s="24" t="s">
        <v>33</v>
      </c>
      <c r="C9" s="7">
        <f>'Fane 10.1. Varige tillæg'!C18</f>
        <v>55841.693599999999</v>
      </c>
      <c r="D9" s="8" t="s">
        <v>3</v>
      </c>
      <c r="E9" s="1"/>
    </row>
    <row r="10" spans="1:5" ht="17.100000000000001" customHeight="1" x14ac:dyDescent="0.25">
      <c r="A10" s="1"/>
      <c r="B10" s="24" t="s">
        <v>34</v>
      </c>
      <c r="C10" s="9">
        <f>'Fane 10.1. Varige tillæg'!E18</f>
        <v>7849.8504000000003</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717771.96632375941</v>
      </c>
      <c r="D15" s="8" t="s">
        <v>3</v>
      </c>
      <c r="E15" s="1"/>
    </row>
    <row r="16" spans="1:5" ht="17.100000000000001" customHeight="1" x14ac:dyDescent="0.25">
      <c r="A16" s="1"/>
      <c r="B16" s="24" t="s">
        <v>9</v>
      </c>
      <c r="C16" s="9">
        <f>-SUM(C8,C9:C15)*'Fane 5. Individuelt eff. krav'!G9</f>
        <v>-309067.98895544623</v>
      </c>
      <c r="D16" s="8" t="s">
        <v>3</v>
      </c>
      <c r="E16" s="1"/>
    </row>
    <row r="17" spans="1:5" ht="17.100000000000001" customHeight="1" x14ac:dyDescent="0.25">
      <c r="A17" s="1"/>
      <c r="B17" s="24" t="s">
        <v>22</v>
      </c>
      <c r="C17" s="9">
        <f>-'Fane 4.1. Gen. krav - drift'!G49</f>
        <v>-165102.07189121196</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20324868.999155737</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11817935.256435839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0</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52" t="s">
        <v>126</v>
      </c>
      <c r="C32" s="33">
        <f>SUM(C19,C21,C27,C29,C31)</f>
        <v>32142804.255591579</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Hh+XqOlPwxg/j5HRFIl3WUvK9mL0lGfTMM+ltqfoT+v+OIv+elRupchocxFP//mCbiqNDh9xIQbJqhpKihbaA==" saltValue="mj+ahS91C17zgdtcIOzO3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20324868.999155737</v>
      </c>
      <c r="D8" s="8" t="s">
        <v>3</v>
      </c>
      <c r="E8" s="1"/>
    </row>
    <row r="9" spans="1:5" ht="15" customHeight="1" x14ac:dyDescent="0.25">
      <c r="A9" s="1"/>
      <c r="B9" s="29" t="s">
        <v>17</v>
      </c>
      <c r="C9" s="9">
        <f>SUM(C8:C8)*'Fane 13. Nøgletal'!C16</f>
        <v>1642249.4151317836</v>
      </c>
      <c r="D9" s="8" t="s">
        <v>3</v>
      </c>
      <c r="E9" s="1"/>
    </row>
    <row r="10" spans="1:5" ht="15" customHeight="1" x14ac:dyDescent="0.25">
      <c r="A10" s="1"/>
      <c r="B10" s="29" t="s">
        <v>9</v>
      </c>
      <c r="C10" s="9">
        <f>-SUM(C8:C9)*'Fane 5. Individuelt eff. krav'!G9</f>
        <v>-326425.32627895428</v>
      </c>
      <c r="D10" s="8" t="s">
        <v>3</v>
      </c>
      <c r="E10" s="1"/>
    </row>
    <row r="11" spans="1:5" ht="15" customHeight="1" x14ac:dyDescent="0.25">
      <c r="A11" s="1"/>
      <c r="B11" s="29" t="s">
        <v>22</v>
      </c>
      <c r="C11" s="9">
        <f>-'Fane 4.1. Gen. krav - drift'!G54</f>
        <v>-174873.47291402143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21465819.615094546</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12772824.425155856</v>
      </c>
      <c r="D15" s="11" t="s">
        <v>3</v>
      </c>
      <c r="E15" s="1"/>
    </row>
    <row r="16" spans="1:5" x14ac:dyDescent="0.25">
      <c r="A16" s="1"/>
      <c r="B16" s="26" t="s">
        <v>117</v>
      </c>
      <c r="C16" s="53"/>
      <c r="D16" s="19"/>
      <c r="E16" s="1"/>
    </row>
    <row r="17" spans="1:5" ht="15" customHeight="1" x14ac:dyDescent="0.25">
      <c r="A17" s="1"/>
      <c r="B17" s="69" t="s">
        <v>118</v>
      </c>
      <c r="C17" s="10">
        <f>'Fane 7. Kontrol af ØR2022'!E33</f>
        <v>-255384.38800336793</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33983259.652247041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PsOBSnOgoxiO7Igbl11SUnyg5fUEFqlDOVLfEWa8SBO3GFY2FX5EKDvb55d2xZtOzpU0UejKugePj9ML6qzzA==" saltValue="IJonkKMPsUamvZQ595hKw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21465819.615094546</v>
      </c>
      <c r="D8" s="8" t="s">
        <v>3</v>
      </c>
      <c r="E8" s="1"/>
    </row>
    <row r="9" spans="1:5" ht="15" customHeight="1" x14ac:dyDescent="0.25">
      <c r="A9" s="1"/>
      <c r="B9" s="29" t="s">
        <v>17</v>
      </c>
      <c r="C9" s="9">
        <f>SUM(C8:C8)*'Fane 13. Nøgletal'!C16</f>
        <v>1734438.2248996394</v>
      </c>
      <c r="D9" s="8" t="s">
        <v>3</v>
      </c>
      <c r="E9" s="1"/>
    </row>
    <row r="10" spans="1:5" ht="15" customHeight="1" x14ac:dyDescent="0.25">
      <c r="A10" s="1"/>
      <c r="B10" s="29" t="s">
        <v>9</v>
      </c>
      <c r="C10" s="9">
        <f>-SUM(C8:C9)*'Fane 5. Individuelt eff. krav'!G9</f>
        <v>-344749.43833554216</v>
      </c>
      <c r="D10" s="8" t="s">
        <v>3</v>
      </c>
      <c r="E10" s="1"/>
    </row>
    <row r="11" spans="1:5" ht="15" customHeight="1" x14ac:dyDescent="0.25">
      <c r="A11" s="1"/>
      <c r="B11" s="29" t="s">
        <v>22</v>
      </c>
      <c r="C11" s="9">
        <f>-'Fane 4.1. Gen. krav - drift'!G59</f>
        <v>-185223.18453496485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22670285.21712368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13804868.638708448</v>
      </c>
      <c r="D15" s="11" t="s">
        <v>3</v>
      </c>
      <c r="E15" s="1"/>
    </row>
    <row r="16" spans="1:5" x14ac:dyDescent="0.25">
      <c r="A16" s="1"/>
      <c r="B16" s="52" t="s">
        <v>117</v>
      </c>
      <c r="C16" s="53"/>
      <c r="D16" s="19"/>
      <c r="E16" s="1"/>
    </row>
    <row r="17" spans="1:5" x14ac:dyDescent="0.25">
      <c r="A17" s="1"/>
      <c r="B17" s="54" t="s">
        <v>118</v>
      </c>
      <c r="C17" s="10">
        <f>'Fane 7. Kontrol af ØR2022'!E33</f>
        <v>-255384.38800336793</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36219769.467828766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9P9fniJIIqI0troQIhibou4HhzD+omkmYH8kriA/lTjeOybLUE+tJIgVZMGvtRhUHAyURbs5gYYXf8IfRhFLg==" saltValue="pvI0OeqoT2bRdbToZJFKX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22670285.21712368</v>
      </c>
      <c r="D8" s="8" t="s">
        <v>3</v>
      </c>
      <c r="E8" s="1"/>
    </row>
    <row r="9" spans="1:5" ht="15" customHeight="1" x14ac:dyDescent="0.25">
      <c r="A9" s="1"/>
      <c r="B9" s="29" t="s">
        <v>17</v>
      </c>
      <c r="C9" s="9">
        <f>SUM(C8:C8)*'Fane 13. Nøgletal'!C16</f>
        <v>1831759.0455435934</v>
      </c>
      <c r="D9" s="8" t="s">
        <v>3</v>
      </c>
      <c r="E9" s="1"/>
    </row>
    <row r="10" spans="1:5" ht="15" customHeight="1" x14ac:dyDescent="0.25">
      <c r="A10" s="1"/>
      <c r="B10" s="29" t="s">
        <v>9</v>
      </c>
      <c r="C10" s="9">
        <f>-SUM(C8:C9)*'Fane 5. Individuelt eff. krav'!G9</f>
        <v>-364093.62585037772</v>
      </c>
      <c r="D10" s="8" t="s">
        <v>3</v>
      </c>
      <c r="E10" s="1"/>
    </row>
    <row r="11" spans="1:5" ht="15" customHeight="1" x14ac:dyDescent="0.25">
      <c r="A11" s="1"/>
      <c r="B11" s="29" t="s">
        <v>22</v>
      </c>
      <c r="C11" s="9">
        <f>-'Fane 4.1. Gen. krav - drift'!G64</f>
        <v>-196185.4334884822</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23941765.203328412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14920302.02471609</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38862067.228044502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zhKwWNHf/hiAlU9VIWcc/N5CLgaNPvgodt5134Xkc/du3P4PK2NHGlOJhU3+4wKH0kA481NqMD+xFt9/NYxFw==" saltValue="iG5fARorP9ZQN9suGQ3Ll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19315285.369303118</v>
      </c>
      <c r="D8" s="8" t="s">
        <v>3</v>
      </c>
      <c r="E8" s="1"/>
    </row>
    <row r="9" spans="1:5" x14ac:dyDescent="0.25">
      <c r="A9" s="1"/>
      <c r="B9" s="24" t="s">
        <v>33</v>
      </c>
      <c r="C9" s="7">
        <v>288090.4572</v>
      </c>
      <c r="D9" s="8" t="s">
        <v>3</v>
      </c>
      <c r="E9" s="1"/>
    </row>
    <row r="10" spans="1:5" x14ac:dyDescent="0.25">
      <c r="A10" s="1"/>
      <c r="B10" s="24" t="s">
        <v>34</v>
      </c>
      <c r="C10" s="9">
        <v>175925.65680000003</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704143.13280559098</v>
      </c>
      <c r="D15" s="8" t="s">
        <v>3</v>
      </c>
      <c r="E15" s="1"/>
    </row>
    <row r="16" spans="1:5" x14ac:dyDescent="0.25">
      <c r="A16" s="1"/>
      <c r="B16" s="24" t="s">
        <v>9</v>
      </c>
      <c r="C16" s="9">
        <v>-304378.34248580196</v>
      </c>
      <c r="D16" s="8" t="s">
        <v>3</v>
      </c>
      <c r="E16" s="1"/>
    </row>
    <row r="17" spans="1:5" x14ac:dyDescent="0.25">
      <c r="A17" s="1"/>
      <c r="B17" s="24" t="s">
        <v>22</v>
      </c>
      <c r="C17" s="9">
        <v>-161490.723944272</v>
      </c>
      <c r="D17" s="8" t="s">
        <v>3</v>
      </c>
      <c r="E17" s="1"/>
    </row>
    <row r="18" spans="1:5" x14ac:dyDescent="0.25">
      <c r="A18" s="1"/>
      <c r="B18" s="24" t="s">
        <v>23</v>
      </c>
      <c r="C18" s="9">
        <v>0</v>
      </c>
      <c r="D18" s="8" t="s">
        <v>3</v>
      </c>
      <c r="E18" s="1"/>
    </row>
    <row r="19" spans="1:5" x14ac:dyDescent="0.25">
      <c r="A19" s="1"/>
      <c r="B19" s="70" t="s">
        <v>19</v>
      </c>
      <c r="C19" s="10">
        <v>20017575.549678635</v>
      </c>
      <c r="D19" s="11" t="s">
        <v>3</v>
      </c>
      <c r="E19" s="1"/>
    </row>
    <row r="20" spans="1:5" x14ac:dyDescent="0.25">
      <c r="A20" s="1"/>
      <c r="B20" s="52" t="s">
        <v>11</v>
      </c>
      <c r="C20" s="53"/>
      <c r="D20" s="19"/>
      <c r="E20" s="1"/>
    </row>
    <row r="21" spans="1:5" x14ac:dyDescent="0.25">
      <c r="A21" s="1"/>
      <c r="B21" s="54" t="s">
        <v>11</v>
      </c>
      <c r="C21" s="10">
        <v>11427598.736830082</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0</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31445174.286508717</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6M0SDp1T6fW3XsZ9hLnT/88jjHq1m7JFcYshtxwAh2K1oJPtVnOJBIl1jR8uM6QH6gIujLTFSDSJx6EVZQqOhA==" saltValue="5JMJ+NPrF59T2+MYaG1Ix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7865832.286732736</v>
      </c>
      <c r="H5" s="14" t="s">
        <v>3</v>
      </c>
      <c r="I5" s="1"/>
    </row>
    <row r="6" spans="1:9" x14ac:dyDescent="0.25">
      <c r="A6" s="1"/>
      <c r="B6" s="98" t="s">
        <v>37</v>
      </c>
      <c r="C6" s="99"/>
      <c r="D6" s="99"/>
      <c r="E6" s="99"/>
      <c r="F6" s="100"/>
      <c r="G6" s="22">
        <f>G5*'Fane 13. Nøgletal'!C33</f>
        <v>157316.64573465471</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7806413.7896387568</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156128.27579277515</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7779575.339029978</v>
      </c>
      <c r="H16" s="14" t="s">
        <v>3</v>
      </c>
      <c r="I16" s="1"/>
    </row>
    <row r="17" spans="1:9" x14ac:dyDescent="0.25">
      <c r="A17" s="1"/>
      <c r="B17" s="98" t="s">
        <v>100</v>
      </c>
      <c r="C17" s="99"/>
      <c r="D17" s="99"/>
      <c r="E17" s="99"/>
      <c r="F17" s="100"/>
      <c r="G17" s="47">
        <v>-94058.91620683753</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153710.3284564628</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7659093.6173614739</v>
      </c>
      <c r="H23" s="14" t="s">
        <v>3</v>
      </c>
      <c r="I23" s="1"/>
    </row>
    <row r="24" spans="1:9" x14ac:dyDescent="0.25">
      <c r="A24" s="1"/>
      <c r="B24" s="101" t="s">
        <v>230</v>
      </c>
      <c r="C24" s="102"/>
      <c r="D24" s="102"/>
      <c r="E24" s="102"/>
      <c r="F24" s="103"/>
      <c r="G24" s="47">
        <v>0</v>
      </c>
      <c r="H24" s="14" t="s">
        <v>3</v>
      </c>
      <c r="I24" s="1"/>
    </row>
    <row r="25" spans="1:9" x14ac:dyDescent="0.25">
      <c r="A25" s="1"/>
      <c r="B25" s="98" t="s">
        <v>43</v>
      </c>
      <c r="C25" s="99"/>
      <c r="D25" s="99"/>
      <c r="E25" s="99"/>
      <c r="F25" s="100"/>
      <c r="G25" s="22">
        <f>(G23+G24)*'Fane 13. Nøgletal'!C33</f>
        <v>153181.87234722948</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7597483.8683034182</v>
      </c>
      <c r="H29" s="14" t="s">
        <v>3</v>
      </c>
      <c r="I29" s="1"/>
    </row>
    <row r="30" spans="1:9" x14ac:dyDescent="0.25">
      <c r="A30" s="1"/>
      <c r="B30" s="98" t="s">
        <v>231</v>
      </c>
      <c r="C30" s="99"/>
      <c r="D30" s="99"/>
      <c r="E30" s="99"/>
      <c r="F30" s="100"/>
      <c r="G30" s="47">
        <v>8146.1878268399996</v>
      </c>
      <c r="H30" s="14" t="s">
        <v>3</v>
      </c>
      <c r="I30" s="1"/>
    </row>
    <row r="31" spans="1:9" x14ac:dyDescent="0.25">
      <c r="A31" s="1"/>
      <c r="B31" s="98" t="s">
        <v>115</v>
      </c>
      <c r="C31" s="99"/>
      <c r="D31" s="99"/>
      <c r="E31" s="99"/>
      <c r="F31" s="100"/>
      <c r="G31" s="22">
        <f>(G29+G30)*'Fane 13. Nøgletal'!C33</f>
        <v>152112.60112260518</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7544450.3679587459</v>
      </c>
      <c r="H35" s="14" t="s">
        <v>3</v>
      </c>
      <c r="I35" s="1"/>
    </row>
    <row r="36" spans="1:9" x14ac:dyDescent="0.25">
      <c r="A36" s="1"/>
      <c r="B36" s="98" t="s">
        <v>232</v>
      </c>
      <c r="C36" s="99"/>
      <c r="D36" s="99"/>
      <c r="E36" s="99"/>
      <c r="F36" s="100"/>
      <c r="G36" s="47">
        <v>117665.76676477003</v>
      </c>
      <c r="H36" s="14" t="s">
        <v>3</v>
      </c>
      <c r="I36" s="1"/>
    </row>
    <row r="37" spans="1:9" x14ac:dyDescent="0.25">
      <c r="A37" s="1"/>
      <c r="B37" s="98" t="s">
        <v>123</v>
      </c>
      <c r="C37" s="99"/>
      <c r="D37" s="99"/>
      <c r="E37" s="99"/>
      <c r="F37" s="100"/>
      <c r="G37" s="22">
        <f>(G35+G36)*'Fane 13. Nøgletal'!C33</f>
        <v>153242.32269447032</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7776189.7197372802</v>
      </c>
      <c r="H41" s="14" t="s">
        <v>3</v>
      </c>
      <c r="I41" s="1"/>
    </row>
    <row r="42" spans="1:9" x14ac:dyDescent="0.25">
      <c r="A42" s="1"/>
      <c r="B42" s="98" t="s">
        <v>156</v>
      </c>
      <c r="C42" s="99"/>
      <c r="D42" s="99"/>
      <c r="E42" s="99"/>
      <c r="F42" s="100"/>
      <c r="G42" s="22">
        <v>298346.47747632005</v>
      </c>
      <c r="H42" s="14" t="s">
        <v>3</v>
      </c>
      <c r="I42" s="1"/>
    </row>
    <row r="43" spans="1:9" x14ac:dyDescent="0.25">
      <c r="A43" s="1"/>
      <c r="B43" s="98" t="s">
        <v>166</v>
      </c>
      <c r="C43" s="99"/>
      <c r="D43" s="99"/>
      <c r="E43" s="99"/>
      <c r="F43" s="100"/>
      <c r="G43" s="22">
        <f>(G41+G42)*'Fane 13. Nøgletal'!C33</f>
        <v>161490.723944272</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8194749.8921177173</v>
      </c>
      <c r="H47" s="14" t="s">
        <v>3</v>
      </c>
      <c r="I47" s="1"/>
    </row>
    <row r="48" spans="1:9" x14ac:dyDescent="0.25">
      <c r="A48" s="1"/>
      <c r="B48" s="98" t="s">
        <v>206</v>
      </c>
      <c r="C48" s="99"/>
      <c r="D48" s="99"/>
      <c r="E48" s="99"/>
      <c r="F48" s="100"/>
      <c r="G48" s="22">
        <f>('Fane 2.1. Økonomisk ramme 2024'!C9+'Fane 2.1. Økonomisk ramme 2024'!C11+'Fane 2.1. Økonomisk ramme 2024'!C13)*(1+'Fane 13. Nøgletal'!C16)</f>
        <v>60353.70244288</v>
      </c>
      <c r="H48" s="14" t="s">
        <v>3</v>
      </c>
      <c r="I48" s="1"/>
    </row>
    <row r="49" spans="1:9" x14ac:dyDescent="0.25">
      <c r="A49" s="1"/>
      <c r="B49" s="98" t="s">
        <v>167</v>
      </c>
      <c r="C49" s="99"/>
      <c r="D49" s="99"/>
      <c r="E49" s="99"/>
      <c r="F49" s="100"/>
      <c r="G49" s="22">
        <f>G47*'Fane 13. Nøgletal'!C33+G48*'Fane 13. Nøgletal'!C33</f>
        <v>165102.07189121196</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8743673.6457010712</v>
      </c>
      <c r="H53" s="14" t="s">
        <v>3</v>
      </c>
      <c r="I53" s="1"/>
    </row>
    <row r="54" spans="1:9" x14ac:dyDescent="0.25">
      <c r="A54" s="1"/>
      <c r="B54" s="98" t="s">
        <v>135</v>
      </c>
      <c r="C54" s="99"/>
      <c r="D54" s="99"/>
      <c r="E54" s="99"/>
      <c r="F54" s="100"/>
      <c r="G54" s="22">
        <f>(G53)*'Fane 13. Nøgletal'!C33</f>
        <v>174873.47291402143</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9261159.226748243</v>
      </c>
      <c r="H58" s="14" t="s">
        <v>3</v>
      </c>
      <c r="I58" s="1"/>
    </row>
    <row r="59" spans="1:9" x14ac:dyDescent="0.25">
      <c r="A59" s="1"/>
      <c r="B59" s="98" t="s">
        <v>146</v>
      </c>
      <c r="C59" s="99"/>
      <c r="D59" s="99"/>
      <c r="E59" s="99"/>
      <c r="F59" s="100"/>
      <c r="G59" s="22">
        <f>(G58)*'Fane 13. Nøgletal'!C33</f>
        <v>185223.18453496485</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9809271.67442411</v>
      </c>
      <c r="H63" s="14" t="s">
        <v>3</v>
      </c>
      <c r="I63" s="1"/>
    </row>
    <row r="64" spans="1:9" x14ac:dyDescent="0.25">
      <c r="A64" s="1"/>
      <c r="B64" s="98" t="s">
        <v>222</v>
      </c>
      <c r="C64" s="99"/>
      <c r="D64" s="99"/>
      <c r="E64" s="99"/>
      <c r="F64" s="100"/>
      <c r="G64" s="22">
        <f>(G63)*'Fane 13. Nøgletal'!C33</f>
        <v>196185.4334884822</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baYRk3Z/asIQWRoJzBB/6l9QTojI6nBfiGkqzUl9jkcnSYyrmfWB+o9DL+sybDTCJHWmQ+YA8tzMMXdXPvTD2g==" saltValue="Jb/EVnfzmy986fmpWSJcp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12161356.945426397</v>
      </c>
      <c r="H5" s="14" t="s">
        <v>3</v>
      </c>
      <c r="I5" s="1"/>
    </row>
    <row r="6" spans="1:9" x14ac:dyDescent="0.25">
      <c r="A6" s="1"/>
      <c r="B6" s="98" t="s">
        <v>49</v>
      </c>
      <c r="C6" s="99"/>
      <c r="D6" s="99"/>
      <c r="E6" s="99"/>
      <c r="F6" s="100"/>
      <c r="G6" s="22">
        <f>G5*'Fane 13. Nøgletal'!C21</f>
        <v>110668.34820338021</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12203732.342407748</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111053.96431591052</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12297044.642681589</v>
      </c>
      <c r="H16" s="14" t="s">
        <v>3</v>
      </c>
      <c r="I16" s="1"/>
    </row>
    <row r="17" spans="1:9" x14ac:dyDescent="0.25">
      <c r="A17" s="1"/>
      <c r="B17" s="98" t="s">
        <v>101</v>
      </c>
      <c r="C17" s="99"/>
      <c r="D17" s="99"/>
      <c r="E17" s="99"/>
      <c r="F17" s="100"/>
      <c r="G17" s="47">
        <v>483361.9608949417</v>
      </c>
      <c r="H17" s="14" t="s">
        <v>3</v>
      </c>
      <c r="I17" s="1"/>
    </row>
    <row r="18" spans="1:9" x14ac:dyDescent="0.25">
      <c r="A18" s="1"/>
      <c r="B18" s="101" t="s">
        <v>58</v>
      </c>
      <c r="C18" s="102"/>
      <c r="D18" s="102"/>
      <c r="E18" s="102"/>
      <c r="F18" s="103"/>
      <c r="G18" s="47">
        <v>369987.55857311992</v>
      </c>
      <c r="H18" s="14" t="s">
        <v>3</v>
      </c>
      <c r="I18" s="1"/>
    </row>
    <row r="19" spans="1:9" x14ac:dyDescent="0.25">
      <c r="A19" s="1"/>
      <c r="B19" s="98" t="s">
        <v>59</v>
      </c>
      <c r="C19" s="99"/>
      <c r="D19" s="99"/>
      <c r="E19" s="99"/>
      <c r="F19" s="100"/>
      <c r="G19" s="22">
        <f>(G16+G17+G18)*'Fane 13. Nøgletal'!C23</f>
        <v>114408.42921070196</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13256293.891825616</v>
      </c>
      <c r="H23" s="14" t="s">
        <v>3</v>
      </c>
      <c r="I23" s="1"/>
    </row>
    <row r="24" spans="1:9" x14ac:dyDescent="0.25">
      <c r="A24" s="1"/>
      <c r="B24" s="101" t="s">
        <v>62</v>
      </c>
      <c r="C24" s="102"/>
      <c r="D24" s="102"/>
      <c r="E24" s="102"/>
      <c r="F24" s="103"/>
      <c r="G24" s="47">
        <v>155979.44321137198</v>
      </c>
      <c r="H24" s="14" t="s">
        <v>3</v>
      </c>
      <c r="I24" s="1"/>
    </row>
    <row r="25" spans="1:9" x14ac:dyDescent="0.25">
      <c r="A25" s="1"/>
      <c r="B25" s="98" t="s">
        <v>63</v>
      </c>
      <c r="C25" s="99"/>
      <c r="D25" s="99"/>
      <c r="E25" s="99"/>
      <c r="F25" s="100"/>
      <c r="G25" s="22">
        <f>G23*'Fane 13. Nøgletal'!C23+G24*'Fane 13. Nøgletal'!C24</f>
        <v>119759.57304608582</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13454682.42988719</v>
      </c>
      <c r="H29" s="14" t="s">
        <v>3</v>
      </c>
      <c r="I29" s="1"/>
    </row>
    <row r="30" spans="1:9" x14ac:dyDescent="0.25">
      <c r="A30" s="1"/>
      <c r="B30" s="98" t="s">
        <v>113</v>
      </c>
      <c r="C30" s="99"/>
      <c r="D30" s="99"/>
      <c r="E30" s="99"/>
      <c r="F30" s="100"/>
      <c r="G30" s="47">
        <v>3610.5101121600001</v>
      </c>
      <c r="H30" s="14" t="s">
        <v>3</v>
      </c>
      <c r="I30" s="1"/>
    </row>
    <row r="31" spans="1:9" x14ac:dyDescent="0.25">
      <c r="A31" s="1"/>
      <c r="B31" s="98" t="s">
        <v>120</v>
      </c>
      <c r="C31" s="99"/>
      <c r="D31" s="99"/>
      <c r="E31" s="99"/>
      <c r="F31" s="100"/>
      <c r="G31" s="22">
        <f>(G29+G30)*'Fane 13. Nøgletal'!C25</f>
        <v>370103.05584998213</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13247865.800735991</v>
      </c>
      <c r="H35" s="14" t="s">
        <v>3</v>
      </c>
      <c r="I35" s="1"/>
    </row>
    <row r="36" spans="1:9" x14ac:dyDescent="0.25">
      <c r="A36" s="1"/>
      <c r="B36" s="98" t="s">
        <v>129</v>
      </c>
      <c r="C36" s="99"/>
      <c r="D36" s="99"/>
      <c r="E36" s="99"/>
      <c r="F36" s="100"/>
      <c r="G36" s="22">
        <v>352873.48715484003</v>
      </c>
      <c r="H36" s="14" t="s">
        <v>3</v>
      </c>
      <c r="I36" s="1"/>
    </row>
    <row r="37" spans="1:9" x14ac:dyDescent="0.25">
      <c r="A37" s="1"/>
      <c r="B37" s="98" t="s">
        <v>125</v>
      </c>
      <c r="C37" s="99"/>
      <c r="D37" s="99"/>
      <c r="E37" s="99"/>
      <c r="F37" s="100"/>
      <c r="G37" s="22">
        <f>G35*'Fane 13. Nøgletal'!C25+G36*'Fane 13. Nøgletal'!C26</f>
        <v>369538.83713013137</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13702231.186807781</v>
      </c>
      <c r="H41" s="14" t="s">
        <v>3</v>
      </c>
      <c r="I41" s="1"/>
    </row>
    <row r="42" spans="1:9" x14ac:dyDescent="0.25">
      <c r="A42" s="1"/>
      <c r="B42" s="98" t="s">
        <v>169</v>
      </c>
      <c r="C42" s="99"/>
      <c r="D42" s="99"/>
      <c r="E42" s="99"/>
      <c r="F42" s="100"/>
      <c r="G42" s="9">
        <v>182188.61018208004</v>
      </c>
      <c r="H42" s="14" t="s">
        <v>3</v>
      </c>
      <c r="I42" s="1"/>
    </row>
    <row r="43" spans="1:9" x14ac:dyDescent="0.25">
      <c r="A43" s="1"/>
      <c r="B43" s="98" t="s">
        <v>65</v>
      </c>
      <c r="C43" s="99"/>
      <c r="D43" s="99"/>
      <c r="E43" s="99"/>
      <c r="F43" s="100"/>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14378705.141762702</v>
      </c>
      <c r="H47" s="14" t="s">
        <v>3</v>
      </c>
      <c r="I47" s="1"/>
    </row>
    <row r="48" spans="1:9" x14ac:dyDescent="0.25">
      <c r="A48" s="1"/>
      <c r="B48" s="98" t="s">
        <v>210</v>
      </c>
      <c r="C48" s="99"/>
      <c r="D48" s="99"/>
      <c r="E48" s="99"/>
      <c r="F48" s="100"/>
      <c r="G48" s="22">
        <f>('Fane 2.1. Økonomisk ramme 2024'!C10+'Fane 2.1. Økonomisk ramme 2024'!C12+'Fane 2.1. Økonomisk ramme 2024'!C14)*(1+'Fane 13. Nøgletal'!C16)</f>
        <v>8484.1183123200008</v>
      </c>
      <c r="H48" s="14" t="s">
        <v>3</v>
      </c>
      <c r="I48" s="1"/>
    </row>
    <row r="49" spans="1:9" x14ac:dyDescent="0.25">
      <c r="A49" s="1"/>
      <c r="B49" s="98" t="s">
        <v>211</v>
      </c>
      <c r="C49" s="99"/>
      <c r="D49" s="99"/>
      <c r="E49" s="99"/>
      <c r="F49" s="100"/>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15549674.152289083</v>
      </c>
      <c r="H53" s="14" t="s">
        <v>3</v>
      </c>
      <c r="I53" s="1"/>
    </row>
    <row r="54" spans="1:9" x14ac:dyDescent="0.25">
      <c r="A54" s="1"/>
      <c r="B54" s="98" t="s">
        <v>132</v>
      </c>
      <c r="C54" s="99"/>
      <c r="D54" s="99"/>
      <c r="E54" s="99"/>
      <c r="F54" s="100"/>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16806087.823794041</v>
      </c>
      <c r="H58" s="14" t="s">
        <v>3</v>
      </c>
      <c r="I58" s="1"/>
    </row>
    <row r="59" spans="1:9" x14ac:dyDescent="0.25">
      <c r="A59" s="1"/>
      <c r="B59" s="98" t="s">
        <v>149</v>
      </c>
      <c r="C59" s="99"/>
      <c r="D59" s="99"/>
      <c r="E59" s="99"/>
      <c r="F59" s="100"/>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18164019.719956599</v>
      </c>
      <c r="H63" s="14" t="s">
        <v>3</v>
      </c>
      <c r="I63" s="1"/>
    </row>
    <row r="64" spans="1:9" x14ac:dyDescent="0.25">
      <c r="A64" s="1"/>
      <c r="B64" s="98" t="s">
        <v>225</v>
      </c>
      <c r="C64" s="99"/>
      <c r="D64" s="99"/>
      <c r="E64" s="99"/>
      <c r="F64" s="100"/>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okJUILonyCCJdrZFOlJiZW1bZNQRG4563a5kDGrgMvtON0Hu0iCyX5KWIRyFH2+Nvw3gTBW+3gYvKYaE2Frdrw==" saltValue="atVE8jo2c+ZbUrHscVgBn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51">
        <v>1.4859724435529315E-2</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RcRWLTkdfDYRsS7FsaY/hvVcYfmhDp6ha4yWRw+nA1QzAcddK3DY9y5aGakAZR1sJsuFvRZjgcE892nIQMga1A==" saltValue="xg74lFX8chPKeqHkGuTjcg=="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2023-08-25T06:53:11Z</dcterms:modified>
</cp:coreProperties>
</file>