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E:\VAND\Sagsbehandling\Benchmarking\Benchmarking 2027\4. Modelpapirer\"/>
    </mc:Choice>
  </mc:AlternateContent>
  <xr:revisionPtr revIDLastSave="0" documentId="8_{32E9EB9E-65CA-463E-87FB-A5A0C6D68CAE}" xr6:coauthVersionLast="47" xr6:coauthVersionMax="47" xr10:uidLastSave="{00000000-0000-0000-0000-000000000000}"/>
  <bookViews>
    <workbookView xWindow="-120" yWindow="-120" windowWidth="29040" windowHeight="17520" tabRatio="734" xr2:uid="{6D6788DF-C721-4C80-BCD4-4C58C1F294CC}"/>
  </bookViews>
  <sheets>
    <sheet name="Til R-koder" sheetId="15" r:id="rId1"/>
    <sheet name="Potentialer og krav" sheetId="17" r:id="rId2"/>
    <sheet name="Netvolumenmål gns." sheetId="2" r:id="rId3"/>
    <sheet name="Netvolumenmål 2024" sheetId="3" r:id="rId4"/>
    <sheet name="Netvolumenmål 2025" sheetId="4" r:id="rId5"/>
    <sheet name="Costdrivere gns." sheetId="5" r:id="rId6"/>
    <sheet name="Costdrivere 2024" sheetId="6" r:id="rId7"/>
    <sheet name="Costdrivere 2025" sheetId="7" r:id="rId8"/>
    <sheet name="Vandværker" sheetId="16" r:id="rId9"/>
    <sheet name="Nøgletal" sheetId="12" r:id="rId10"/>
  </sheets>
  <definedNames>
    <definedName name="_xlnm._FilterDatabase" localSheetId="6" hidden="1">'Costdrivere 2024'!$A$2:$AF$77</definedName>
    <definedName name="_xlnm._FilterDatabase" localSheetId="7" hidden="1">'Costdrivere 2025'!$A$2:$AF$77</definedName>
    <definedName name="_xlnm._FilterDatabase" localSheetId="5" hidden="1">'Costdrivere gns.'!$A$2:$H$77</definedName>
    <definedName name="_xlnm._FilterDatabase" localSheetId="8" hidden="1">Vandværker!$A$1:$G$274</definedName>
    <definedName name="Tabel_NøgleTal">Nøgletal!$A$1:$C$28</definedName>
  </definedNames>
  <calcPr calcId="191029" calcMode="manual"/>
  <customWorkbookViews>
    <customWorkbookView name="Anna Ingeborg Knuhtsen - Privat visning" guid="{2C63D52F-0547-4395-8CA0-C7353D68F8CD}" mergeInterval="0" personalView="1" xWindow="522" yWindow="156" windowWidth="960" windowHeight="680" activeSheetId="1"/>
    <customWorkbookView name="Christian Skou Petersson - Privat visning" guid="{53A86AE5-34B9-4AAD-8A1B-514545CD4D41}" mergeInterval="0" personalView="1" maximized="1" xWindow="1912" yWindow="-8" windowWidth="1936" windowHeight="1176" activeSheetId="8"/>
    <customWorkbookView name="Julie Skovgaard Hansen - Privat visning" guid="{23FC3042-4DA9-4083-9758-54D5110D65D9}" mergeInterval="0" personalView="1" maximized="1" xWindow="-8" yWindow="-8" windowWidth="1296" windowHeight="614" activeSheetId="2"/>
    <customWorkbookView name="Tess Silke Duchatel Kauffmann - Privat visning" guid="{5FBF3CB5-95CF-4C0E-8B39-AC62F6F49BEE}" mergeInterval="0" personalView="1" maximized="1" xWindow="1912" yWindow="-1" windowWidth="1936" windowHeight="1176" activeSheetId="1"/>
    <customWorkbookView name="Siri Linn Vecht Hagelund - Privat visning" guid="{2CE6916A-B758-47AB-980F-69C7A5893278}" mergeInterval="0" personalView="1" xWindow="1969" yWindow="77" windowWidth="1751" windowHeight="1067" activeSheetId="1" showComments="commIndAndComment"/>
    <customWorkbookView name="Anna Gammelby Dahlgaard - Privat visning" guid="{8AB850D7-B944-458B-BCC3-5E89642C0267}" mergeInterval="0" personalView="1" maximized="1" xWindow="1912" yWindow="-8" windowWidth="1936" windowHeight="1056" activeSheetId="8"/>
    <customWorkbookView name="Nanna Rydal Kristensen - Privat visning" guid="{DF8BFEF0-0BD5-4622-BE69-0A50F4CB3BF9}" mergeInterval="0" personalView="1" maximized="1" xWindow="1912" yWindow="-8" windowWidth="1936" windowHeight="1176" activeSheetId="3"/>
    <customWorkbookView name="Kirstine Mose Schade - Privat visning" guid="{567A7DB2-5052-48B6-AF10-DEE353704E6F}" mergeInterval="0" personalView="1" maximized="1" xWindow="-13" yWindow="-13" windowWidth="2586" windowHeight="1386" activeSheetId="10"/>
    <customWorkbookView name="Jacob Victor Hansen - Privat visning" guid="{04200D46-0C53-4477-BAC3-AB4074B626AC}" mergeInterval="0" personalView="1" maximized="1" xWindow="-8" yWindow="-8" windowWidth="1936" windowHeight="1176" activeSheetId="9"/>
    <customWorkbookView name="Alberte Gram Stenkilde - Privat visning" guid="{74E4FC22-AA95-4DF3-A713-5EDF3ADB5B44}" mergeInterval="0" personalView="1" maximized="1" xWindow="1912" yWindow="-8" windowWidth="1936" windowHeight="1176" tabRatio="856" activeSheetId="1"/>
    <customWorkbookView name="Christina Cramer Calonius Hoffgaard - Privat visning" guid="{23E6A4DE-893A-46F1-B86D-CF441BE94B8E}" mergeInterval="0" personalView="1" maximized="1" xWindow="1912" yWindow="-8" windowWidth="1936" windowHeight="1216" activeSheetId="6" showComments="commIndAndComment"/>
    <customWorkbookView name="Anna Gammelby - Privat visning" guid="{829B6B23-535C-44A1-B480-6154D4D7EB30}" mergeInterval="0" personalView="1" maximized="1" xWindow="-13" yWindow="-13" windowWidth="2586" windowHeight="1386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10" i="6" l="1"/>
  <c r="Y18" i="6"/>
  <c r="Y26" i="6"/>
  <c r="Y34" i="6"/>
  <c r="Y42" i="6"/>
  <c r="Y50" i="6"/>
  <c r="Y58" i="6"/>
  <c r="Y66" i="6"/>
  <c r="Y74" i="6"/>
  <c r="AF4" i="6"/>
  <c r="AF12" i="6"/>
  <c r="AF20" i="6"/>
  <c r="AF28" i="6"/>
  <c r="AF36" i="6"/>
  <c r="AF44" i="6"/>
  <c r="AF52" i="6"/>
  <c r="AF60" i="6"/>
  <c r="AF68" i="6"/>
  <c r="AF76" i="6"/>
  <c r="AF3" i="6"/>
  <c r="AF5" i="6"/>
  <c r="AF6" i="6"/>
  <c r="AF7" i="6"/>
  <c r="AF8" i="6"/>
  <c r="AF9" i="6"/>
  <c r="AF10" i="6"/>
  <c r="AF11" i="6"/>
  <c r="AF13" i="6"/>
  <c r="AF14" i="6"/>
  <c r="AF15" i="6"/>
  <c r="AF16" i="6"/>
  <c r="AF17" i="6"/>
  <c r="AF18" i="6"/>
  <c r="AF19" i="6"/>
  <c r="AF21" i="6"/>
  <c r="AF22" i="6"/>
  <c r="AF23" i="6"/>
  <c r="AF24" i="6"/>
  <c r="AF25" i="6"/>
  <c r="AF26" i="6"/>
  <c r="AF27" i="6"/>
  <c r="AF29" i="6"/>
  <c r="AF30" i="6"/>
  <c r="AF31" i="6"/>
  <c r="AF32" i="6"/>
  <c r="AF33" i="6"/>
  <c r="AF34" i="6"/>
  <c r="AF35" i="6"/>
  <c r="AF37" i="6"/>
  <c r="AF38" i="6"/>
  <c r="AF39" i="6"/>
  <c r="AF40" i="6"/>
  <c r="AF41" i="6"/>
  <c r="AF42" i="6"/>
  <c r="AF43" i="6"/>
  <c r="AF45" i="6"/>
  <c r="AF46" i="6"/>
  <c r="AF47" i="6"/>
  <c r="AF48" i="6"/>
  <c r="AF49" i="6"/>
  <c r="AF50" i="6"/>
  <c r="AF51" i="6"/>
  <c r="AF53" i="6"/>
  <c r="AF54" i="6"/>
  <c r="AF55" i="6"/>
  <c r="AF56" i="6"/>
  <c r="AF57" i="6"/>
  <c r="AF58" i="6"/>
  <c r="AF59" i="6"/>
  <c r="AF61" i="6"/>
  <c r="AF62" i="6"/>
  <c r="AF63" i="6"/>
  <c r="AF64" i="6"/>
  <c r="AF65" i="6"/>
  <c r="AF66" i="6"/>
  <c r="AF67" i="6"/>
  <c r="AF69" i="6"/>
  <c r="AF70" i="6"/>
  <c r="AF71" i="6"/>
  <c r="AF72" i="6"/>
  <c r="AF73" i="6"/>
  <c r="AF74" i="6"/>
  <c r="AF75" i="6"/>
  <c r="AF77" i="6"/>
  <c r="AB4" i="6"/>
  <c r="AB7" i="6"/>
  <c r="AB9" i="6"/>
  <c r="AB10" i="6"/>
  <c r="AB12" i="6"/>
  <c r="AB15" i="6"/>
  <c r="AB17" i="6"/>
  <c r="AB18" i="6"/>
  <c r="AB20" i="6"/>
  <c r="AB23" i="6"/>
  <c r="AB25" i="6"/>
  <c r="AB26" i="6"/>
  <c r="AB28" i="6"/>
  <c r="AB31" i="6"/>
  <c r="AB33" i="6"/>
  <c r="AB34" i="6"/>
  <c r="AB36" i="6"/>
  <c r="AB39" i="6"/>
  <c r="AB41" i="6"/>
  <c r="AB42" i="6"/>
  <c r="AB44" i="6"/>
  <c r="AB47" i="6"/>
  <c r="AB49" i="6"/>
  <c r="AB50" i="6"/>
  <c r="AB52" i="6"/>
  <c r="AB57" i="6"/>
  <c r="AB58" i="6"/>
  <c r="AB60" i="6"/>
  <c r="AB66" i="6"/>
  <c r="AB68" i="6"/>
  <c r="AB74" i="6"/>
  <c r="AB76" i="6"/>
  <c r="AB3" i="6"/>
  <c r="AB5" i="6"/>
  <c r="AB6" i="6"/>
  <c r="AB8" i="6"/>
  <c r="AB11" i="6"/>
  <c r="AB13" i="6"/>
  <c r="AB14" i="6"/>
  <c r="AB16" i="6"/>
  <c r="AB19" i="6"/>
  <c r="AB21" i="6"/>
  <c r="AB22" i="6"/>
  <c r="AB24" i="6"/>
  <c r="AB27" i="6"/>
  <c r="AB29" i="6"/>
  <c r="AB30" i="6"/>
  <c r="AB32" i="6"/>
  <c r="AB35" i="6"/>
  <c r="AB37" i="6"/>
  <c r="AB38" i="6"/>
  <c r="AB40" i="6"/>
  <c r="AB43" i="6"/>
  <c r="AB45" i="6"/>
  <c r="AB46" i="6"/>
  <c r="AB48" i="6"/>
  <c r="AB51" i="6"/>
  <c r="AB53" i="6"/>
  <c r="AB54" i="6"/>
  <c r="AB55" i="6"/>
  <c r="AB56" i="6"/>
  <c r="AB59" i="6"/>
  <c r="AB61" i="6"/>
  <c r="AB62" i="6"/>
  <c r="AB63" i="6"/>
  <c r="AB64" i="6"/>
  <c r="AB65" i="6"/>
  <c r="AB67" i="6"/>
  <c r="AB69" i="6"/>
  <c r="AB70" i="6"/>
  <c r="AB71" i="6"/>
  <c r="AB72" i="6"/>
  <c r="AB73" i="6"/>
  <c r="AB75" i="6"/>
  <c r="AB77" i="6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J3" i="6"/>
  <c r="Y3" i="6" s="1"/>
  <c r="J4" i="6"/>
  <c r="Y4" i="6" s="1"/>
  <c r="J5" i="6"/>
  <c r="Y5" i="6" s="1"/>
  <c r="J6" i="6"/>
  <c r="Y6" i="6" s="1"/>
  <c r="J7" i="6"/>
  <c r="Y7" i="6" s="1"/>
  <c r="J8" i="6"/>
  <c r="Y8" i="6" s="1"/>
  <c r="J9" i="6"/>
  <c r="Y9" i="6" s="1"/>
  <c r="J10" i="6"/>
  <c r="J11" i="6"/>
  <c r="Y11" i="6" s="1"/>
  <c r="J12" i="6"/>
  <c r="Y12" i="6" s="1"/>
  <c r="J13" i="6"/>
  <c r="Y13" i="6" s="1"/>
  <c r="J14" i="6"/>
  <c r="Y14" i="6" s="1"/>
  <c r="J15" i="6"/>
  <c r="Y15" i="6" s="1"/>
  <c r="J16" i="6"/>
  <c r="Y16" i="6" s="1"/>
  <c r="J17" i="6"/>
  <c r="Y17" i="6" s="1"/>
  <c r="J18" i="6"/>
  <c r="J19" i="6"/>
  <c r="Y19" i="6" s="1"/>
  <c r="J20" i="6"/>
  <c r="Y20" i="6" s="1"/>
  <c r="J21" i="6"/>
  <c r="Y21" i="6" s="1"/>
  <c r="J22" i="6"/>
  <c r="Y22" i="6" s="1"/>
  <c r="J23" i="6"/>
  <c r="Y23" i="6" s="1"/>
  <c r="J24" i="6"/>
  <c r="Y24" i="6" s="1"/>
  <c r="J25" i="6"/>
  <c r="Y25" i="6" s="1"/>
  <c r="J26" i="6"/>
  <c r="J27" i="6"/>
  <c r="Y27" i="6" s="1"/>
  <c r="J28" i="6"/>
  <c r="Y28" i="6" s="1"/>
  <c r="J29" i="6"/>
  <c r="Y29" i="6" s="1"/>
  <c r="J30" i="6"/>
  <c r="Y30" i="6" s="1"/>
  <c r="J31" i="6"/>
  <c r="Y31" i="6" s="1"/>
  <c r="J32" i="6"/>
  <c r="Y32" i="6" s="1"/>
  <c r="J33" i="6"/>
  <c r="Y33" i="6" s="1"/>
  <c r="J34" i="6"/>
  <c r="J35" i="6"/>
  <c r="Y35" i="6" s="1"/>
  <c r="J36" i="6"/>
  <c r="Y36" i="6" s="1"/>
  <c r="J37" i="6"/>
  <c r="Y37" i="6" s="1"/>
  <c r="J38" i="6"/>
  <c r="Y38" i="6" s="1"/>
  <c r="J39" i="6"/>
  <c r="Y39" i="6" s="1"/>
  <c r="J40" i="6"/>
  <c r="Y40" i="6" s="1"/>
  <c r="J41" i="6"/>
  <c r="Y41" i="6" s="1"/>
  <c r="J42" i="6"/>
  <c r="J43" i="6"/>
  <c r="Y43" i="6" s="1"/>
  <c r="J44" i="6"/>
  <c r="Y44" i="6" s="1"/>
  <c r="J45" i="6"/>
  <c r="Y45" i="6" s="1"/>
  <c r="J46" i="6"/>
  <c r="Y46" i="6" s="1"/>
  <c r="J47" i="6"/>
  <c r="Y47" i="6" s="1"/>
  <c r="J48" i="6"/>
  <c r="Y48" i="6" s="1"/>
  <c r="J49" i="6"/>
  <c r="Y49" i="6" s="1"/>
  <c r="J50" i="6"/>
  <c r="J51" i="6"/>
  <c r="Y51" i="6" s="1"/>
  <c r="J52" i="6"/>
  <c r="Y52" i="6" s="1"/>
  <c r="J53" i="6"/>
  <c r="Y53" i="6" s="1"/>
  <c r="J54" i="6"/>
  <c r="Y54" i="6" s="1"/>
  <c r="J55" i="6"/>
  <c r="Y55" i="6" s="1"/>
  <c r="J56" i="6"/>
  <c r="Y56" i="6" s="1"/>
  <c r="J57" i="6"/>
  <c r="Y57" i="6" s="1"/>
  <c r="J58" i="6"/>
  <c r="J59" i="6"/>
  <c r="Y59" i="6" s="1"/>
  <c r="J60" i="6"/>
  <c r="Y60" i="6" s="1"/>
  <c r="J61" i="6"/>
  <c r="Y61" i="6" s="1"/>
  <c r="J62" i="6"/>
  <c r="Y62" i="6" s="1"/>
  <c r="J63" i="6"/>
  <c r="Y63" i="6" s="1"/>
  <c r="J64" i="6"/>
  <c r="Y64" i="6" s="1"/>
  <c r="J65" i="6"/>
  <c r="Y65" i="6" s="1"/>
  <c r="J66" i="6"/>
  <c r="J67" i="6"/>
  <c r="Y67" i="6" s="1"/>
  <c r="J68" i="6"/>
  <c r="Y68" i="6" s="1"/>
  <c r="J69" i="6"/>
  <c r="Y69" i="6" s="1"/>
  <c r="J70" i="6"/>
  <c r="Y70" i="6" s="1"/>
  <c r="J71" i="6"/>
  <c r="Y71" i="6" s="1"/>
  <c r="J72" i="6"/>
  <c r="Y72" i="6" s="1"/>
  <c r="J73" i="6"/>
  <c r="Y73" i="6" s="1"/>
  <c r="J74" i="6"/>
  <c r="J75" i="6"/>
  <c r="Y75" i="6" s="1"/>
  <c r="J76" i="6"/>
  <c r="Y76" i="6" s="1"/>
  <c r="J77" i="6"/>
  <c r="Y77" i="6" s="1"/>
  <c r="AF3" i="7"/>
  <c r="AF4" i="7"/>
  <c r="AF5" i="7"/>
  <c r="AF6" i="7"/>
  <c r="AF7" i="7"/>
  <c r="AF9" i="7"/>
  <c r="AF10" i="7"/>
  <c r="AF11" i="7"/>
  <c r="AF12" i="7"/>
  <c r="AF13" i="7"/>
  <c r="AF14" i="7"/>
  <c r="AF15" i="7"/>
  <c r="AF17" i="7"/>
  <c r="AF18" i="7"/>
  <c r="AF19" i="7"/>
  <c r="AF20" i="7"/>
  <c r="AF21" i="7"/>
  <c r="AF22" i="7"/>
  <c r="AF23" i="7"/>
  <c r="AF25" i="7"/>
  <c r="AF26" i="7"/>
  <c r="AF27" i="7"/>
  <c r="AF28" i="7"/>
  <c r="AF29" i="7"/>
  <c r="AF30" i="7"/>
  <c r="AF31" i="7"/>
  <c r="AF33" i="7"/>
  <c r="AF34" i="7"/>
  <c r="AF35" i="7"/>
  <c r="AF36" i="7"/>
  <c r="AF37" i="7"/>
  <c r="AF38" i="7"/>
  <c r="AF39" i="7"/>
  <c r="AF41" i="7"/>
  <c r="AF42" i="7"/>
  <c r="AF43" i="7"/>
  <c r="AF44" i="7"/>
  <c r="AF45" i="7"/>
  <c r="AF46" i="7"/>
  <c r="AF47" i="7"/>
  <c r="AF49" i="7"/>
  <c r="AF50" i="7"/>
  <c r="AF51" i="7"/>
  <c r="AF52" i="7"/>
  <c r="AF53" i="7"/>
  <c r="AF54" i="7"/>
  <c r="AF55" i="7"/>
  <c r="AF57" i="7"/>
  <c r="AF58" i="7"/>
  <c r="AF59" i="7"/>
  <c r="AF60" i="7"/>
  <c r="AF61" i="7"/>
  <c r="AF62" i="7"/>
  <c r="AF63" i="7"/>
  <c r="AF65" i="7"/>
  <c r="AF66" i="7"/>
  <c r="AF67" i="7"/>
  <c r="AF68" i="7"/>
  <c r="AF69" i="7"/>
  <c r="AF70" i="7"/>
  <c r="AF71" i="7"/>
  <c r="AF73" i="7"/>
  <c r="AF74" i="7"/>
  <c r="AF75" i="7"/>
  <c r="AF76" i="7"/>
  <c r="AF77" i="7"/>
  <c r="AB7" i="7"/>
  <c r="AB9" i="7"/>
  <c r="AB17" i="7"/>
  <c r="AB33" i="7"/>
  <c r="AB39" i="7"/>
  <c r="AB73" i="7"/>
  <c r="AB3" i="7"/>
  <c r="AB4" i="7"/>
  <c r="AB5" i="7"/>
  <c r="AB6" i="7"/>
  <c r="AB8" i="7"/>
  <c r="AB10" i="7"/>
  <c r="AB11" i="7"/>
  <c r="AB12" i="7"/>
  <c r="AB13" i="7"/>
  <c r="AB14" i="7"/>
  <c r="AB15" i="7"/>
  <c r="AB16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4" i="7"/>
  <c r="AB35" i="7"/>
  <c r="AB36" i="7"/>
  <c r="AB37" i="7"/>
  <c r="AB38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4" i="7"/>
  <c r="AB75" i="7"/>
  <c r="AB76" i="7"/>
  <c r="AB77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J3" i="7"/>
  <c r="Y3" i="7" s="1"/>
  <c r="J4" i="7"/>
  <c r="Y4" i="7" s="1"/>
  <c r="J5" i="7"/>
  <c r="J6" i="7"/>
  <c r="Y6" i="7" s="1"/>
  <c r="J7" i="7"/>
  <c r="Y7" i="7" s="1"/>
  <c r="J8" i="7"/>
  <c r="J9" i="7"/>
  <c r="Y9" i="7" s="1"/>
  <c r="J10" i="7"/>
  <c r="J11" i="7"/>
  <c r="Y11" i="7" s="1"/>
  <c r="J12" i="7"/>
  <c r="Y12" i="7" s="1"/>
  <c r="J13" i="7"/>
  <c r="J14" i="7"/>
  <c r="Y14" i="7" s="1"/>
  <c r="J15" i="7"/>
  <c r="Y15" i="7" s="1"/>
  <c r="J16" i="7"/>
  <c r="J17" i="7"/>
  <c r="Y17" i="7" s="1"/>
  <c r="J18" i="7"/>
  <c r="J19" i="7"/>
  <c r="Y19" i="7" s="1"/>
  <c r="J20" i="7"/>
  <c r="Y20" i="7" s="1"/>
  <c r="J21" i="7"/>
  <c r="J22" i="7"/>
  <c r="Y22" i="7" s="1"/>
  <c r="J23" i="7"/>
  <c r="Y23" i="7" s="1"/>
  <c r="J24" i="7"/>
  <c r="J25" i="7"/>
  <c r="Y25" i="7" s="1"/>
  <c r="J26" i="7"/>
  <c r="J27" i="7"/>
  <c r="Y27" i="7" s="1"/>
  <c r="J28" i="7"/>
  <c r="Y28" i="7" s="1"/>
  <c r="J29" i="7"/>
  <c r="J30" i="7"/>
  <c r="Y30" i="7" s="1"/>
  <c r="J31" i="7"/>
  <c r="Y31" i="7" s="1"/>
  <c r="J32" i="7"/>
  <c r="J33" i="7"/>
  <c r="Y33" i="7" s="1"/>
  <c r="J34" i="7"/>
  <c r="J35" i="7"/>
  <c r="Y35" i="7" s="1"/>
  <c r="J36" i="7"/>
  <c r="Y36" i="7" s="1"/>
  <c r="J37" i="7"/>
  <c r="J38" i="7"/>
  <c r="Y38" i="7" s="1"/>
  <c r="J39" i="7"/>
  <c r="Y39" i="7" s="1"/>
  <c r="J40" i="7"/>
  <c r="J41" i="7"/>
  <c r="Y41" i="7" s="1"/>
  <c r="J42" i="7"/>
  <c r="J43" i="7"/>
  <c r="Y43" i="7" s="1"/>
  <c r="J44" i="7"/>
  <c r="Y44" i="7" s="1"/>
  <c r="J45" i="7"/>
  <c r="J46" i="7"/>
  <c r="Y46" i="7" s="1"/>
  <c r="J47" i="7"/>
  <c r="Y47" i="7" s="1"/>
  <c r="J48" i="7"/>
  <c r="J49" i="7"/>
  <c r="Y49" i="7" s="1"/>
  <c r="J50" i="7"/>
  <c r="J51" i="7"/>
  <c r="Y51" i="7" s="1"/>
  <c r="J52" i="7"/>
  <c r="Y52" i="7" s="1"/>
  <c r="J53" i="7"/>
  <c r="J54" i="7"/>
  <c r="Y54" i="7" s="1"/>
  <c r="J55" i="7"/>
  <c r="Y55" i="7" s="1"/>
  <c r="J56" i="7"/>
  <c r="J57" i="7"/>
  <c r="Y57" i="7" s="1"/>
  <c r="J58" i="7"/>
  <c r="J59" i="7"/>
  <c r="Y59" i="7" s="1"/>
  <c r="J60" i="7"/>
  <c r="Y60" i="7" s="1"/>
  <c r="J61" i="7"/>
  <c r="J62" i="7"/>
  <c r="Y62" i="7" s="1"/>
  <c r="J63" i="7"/>
  <c r="Y63" i="7" s="1"/>
  <c r="J64" i="7"/>
  <c r="J65" i="7"/>
  <c r="Y65" i="7" s="1"/>
  <c r="J66" i="7"/>
  <c r="J67" i="7"/>
  <c r="Y67" i="7" s="1"/>
  <c r="J68" i="7"/>
  <c r="Y68" i="7" s="1"/>
  <c r="J69" i="7"/>
  <c r="J70" i="7"/>
  <c r="Y70" i="7" s="1"/>
  <c r="J71" i="7"/>
  <c r="Y71" i="7" s="1"/>
  <c r="J72" i="7"/>
  <c r="J73" i="7"/>
  <c r="Y73" i="7" s="1"/>
  <c r="J74" i="7"/>
  <c r="J75" i="7"/>
  <c r="Y75" i="7" s="1"/>
  <c r="J76" i="7"/>
  <c r="Y76" i="7" s="1"/>
  <c r="J77" i="7"/>
  <c r="Y69" i="7" l="1"/>
  <c r="Y61" i="7"/>
  <c r="Y53" i="7"/>
  <c r="Y45" i="7"/>
  <c r="Y37" i="7"/>
  <c r="Y29" i="7"/>
  <c r="Y21" i="7"/>
  <c r="Y13" i="7"/>
  <c r="Y5" i="7"/>
  <c r="Y77" i="7"/>
  <c r="Y74" i="7"/>
  <c r="Y66" i="7"/>
  <c r="Y58" i="7"/>
  <c r="Y50" i="7"/>
  <c r="Y42" i="7"/>
  <c r="Y34" i="7"/>
  <c r="Y26" i="7"/>
  <c r="Y18" i="7"/>
  <c r="Y10" i="7"/>
  <c r="Y72" i="7"/>
  <c r="Y64" i="7"/>
  <c r="Y56" i="7"/>
  <c r="Y48" i="7"/>
  <c r="Y40" i="7"/>
  <c r="Y32" i="7"/>
  <c r="Y24" i="7"/>
  <c r="Y16" i="7"/>
  <c r="Y8" i="7"/>
  <c r="AF72" i="7"/>
  <c r="AF64" i="7"/>
  <c r="AF56" i="7"/>
  <c r="AF48" i="7"/>
  <c r="AF40" i="7"/>
  <c r="AF32" i="7"/>
  <c r="AF24" i="7"/>
  <c r="AF16" i="7"/>
  <c r="AF8" i="7"/>
  <c r="P70" i="4"/>
  <c r="P70" i="3"/>
  <c r="G64" i="15" l="1"/>
  <c r="D2" i="15" l="1"/>
  <c r="H71" i="6" l="1"/>
  <c r="H72" i="6"/>
  <c r="H73" i="6"/>
  <c r="H74" i="6"/>
  <c r="H75" i="6"/>
  <c r="H76" i="6"/>
  <c r="H77" i="6"/>
  <c r="H71" i="7"/>
  <c r="H72" i="7"/>
  <c r="H73" i="7"/>
  <c r="H74" i="7"/>
  <c r="H75" i="7"/>
  <c r="H76" i="7"/>
  <c r="H77" i="7"/>
  <c r="F37" i="6"/>
  <c r="F74" i="4" l="1"/>
  <c r="F66" i="4"/>
  <c r="F58" i="4"/>
  <c r="F43" i="4"/>
  <c r="F20" i="4"/>
  <c r="F2" i="4"/>
  <c r="V3" i="15"/>
  <c r="V4" i="15"/>
  <c r="V5" i="15"/>
  <c r="V6" i="15"/>
  <c r="V7" i="15"/>
  <c r="V8" i="15"/>
  <c r="V9" i="15"/>
  <c r="V10" i="15"/>
  <c r="V11" i="15"/>
  <c r="V12" i="15"/>
  <c r="V13" i="15"/>
  <c r="V14" i="15"/>
  <c r="V15" i="15"/>
  <c r="V16" i="15"/>
  <c r="V17" i="15"/>
  <c r="V18" i="15"/>
  <c r="V19" i="15"/>
  <c r="V20" i="15"/>
  <c r="V21" i="15"/>
  <c r="V22" i="15"/>
  <c r="V23" i="15"/>
  <c r="V24" i="15"/>
  <c r="V25" i="15"/>
  <c r="V26" i="15"/>
  <c r="V27" i="15"/>
  <c r="V28" i="15"/>
  <c r="V29" i="15"/>
  <c r="V30" i="15"/>
  <c r="V31" i="15"/>
  <c r="V32" i="15"/>
  <c r="V33" i="15"/>
  <c r="V34" i="15"/>
  <c r="V35" i="15"/>
  <c r="V36" i="15"/>
  <c r="V37" i="15"/>
  <c r="V38" i="15"/>
  <c r="V39" i="15"/>
  <c r="V40" i="15"/>
  <c r="V41" i="15"/>
  <c r="V42" i="15"/>
  <c r="V43" i="15"/>
  <c r="V44" i="15"/>
  <c r="V45" i="15"/>
  <c r="V46" i="15"/>
  <c r="V47" i="15"/>
  <c r="V48" i="15"/>
  <c r="V49" i="15"/>
  <c r="V50" i="15"/>
  <c r="V51" i="15"/>
  <c r="V52" i="15"/>
  <c r="V53" i="15"/>
  <c r="V54" i="15"/>
  <c r="V55" i="15"/>
  <c r="V56" i="15"/>
  <c r="V57" i="15"/>
  <c r="V58" i="15"/>
  <c r="V59" i="15"/>
  <c r="V60" i="15"/>
  <c r="V61" i="15"/>
  <c r="V62" i="15"/>
  <c r="V63" i="15"/>
  <c r="V64" i="15"/>
  <c r="V65" i="15"/>
  <c r="V66" i="15"/>
  <c r="V67" i="15"/>
  <c r="V68" i="15"/>
  <c r="V69" i="15"/>
  <c r="V70" i="15"/>
  <c r="V71" i="15"/>
  <c r="V72" i="15"/>
  <c r="V73" i="15"/>
  <c r="V74" i="15"/>
  <c r="V75" i="15"/>
  <c r="V76" i="15"/>
  <c r="V2" i="15"/>
  <c r="U3" i="15"/>
  <c r="U4" i="15"/>
  <c r="U5" i="15"/>
  <c r="U6" i="15"/>
  <c r="U7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U37" i="15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U54" i="15"/>
  <c r="U55" i="15"/>
  <c r="U56" i="15"/>
  <c r="U57" i="15"/>
  <c r="U58" i="15"/>
  <c r="U59" i="15"/>
  <c r="U60" i="15"/>
  <c r="U61" i="15"/>
  <c r="U62" i="15"/>
  <c r="U63" i="15"/>
  <c r="U64" i="15"/>
  <c r="U65" i="15"/>
  <c r="U66" i="15"/>
  <c r="U67" i="15"/>
  <c r="U68" i="15"/>
  <c r="U69" i="15"/>
  <c r="U70" i="15"/>
  <c r="U71" i="15"/>
  <c r="U72" i="15"/>
  <c r="U73" i="15"/>
  <c r="U74" i="15"/>
  <c r="U75" i="15"/>
  <c r="U76" i="15"/>
  <c r="U2" i="15"/>
  <c r="F13" i="3"/>
  <c r="F20" i="3"/>
  <c r="F21" i="3"/>
  <c r="F29" i="3"/>
  <c r="F35" i="3"/>
  <c r="F36" i="3"/>
  <c r="F43" i="3"/>
  <c r="F44" i="3"/>
  <c r="F52" i="3"/>
  <c r="F59" i="3"/>
  <c r="F66" i="3"/>
  <c r="F67" i="3"/>
  <c r="F75" i="3"/>
  <c r="F28" i="4"/>
  <c r="F35" i="4"/>
  <c r="F51" i="4"/>
  <c r="F12" i="4"/>
  <c r="F3" i="3"/>
  <c r="F7" i="3"/>
  <c r="F10" i="3"/>
  <c r="F12" i="3"/>
  <c r="F18" i="3"/>
  <c r="F26" i="3"/>
  <c r="F28" i="3"/>
  <c r="F41" i="3"/>
  <c r="F49" i="3"/>
  <c r="F51" i="3"/>
  <c r="F56" i="3"/>
  <c r="F58" i="3"/>
  <c r="F64" i="3"/>
  <c r="F72" i="3"/>
  <c r="F74" i="3"/>
  <c r="F2" i="3"/>
  <c r="AH39" i="15" l="1"/>
  <c r="F71" i="4"/>
  <c r="F63" i="4"/>
  <c r="F55" i="4"/>
  <c r="F48" i="4"/>
  <c r="F40" i="4"/>
  <c r="F33" i="4"/>
  <c r="F25" i="4"/>
  <c r="F17" i="4"/>
  <c r="F8" i="4"/>
  <c r="AH44" i="15"/>
  <c r="F73" i="3"/>
  <c r="F65" i="3"/>
  <c r="F57" i="3"/>
  <c r="F50" i="3"/>
  <c r="F42" i="3"/>
  <c r="F34" i="3"/>
  <c r="F27" i="3"/>
  <c r="F19" i="3"/>
  <c r="F9" i="3"/>
  <c r="AH64" i="15"/>
  <c r="F76" i="3"/>
  <c r="F68" i="3"/>
  <c r="F60" i="3"/>
  <c r="F11" i="3"/>
  <c r="F45" i="3"/>
  <c r="F37" i="3"/>
  <c r="F30" i="3"/>
  <c r="F22" i="3"/>
  <c r="F14" i="3"/>
  <c r="F4" i="3"/>
  <c r="F70" i="4"/>
  <c r="F62" i="4"/>
  <c r="F54" i="4"/>
  <c r="F47" i="4"/>
  <c r="F39" i="4"/>
  <c r="F32" i="4"/>
  <c r="F24" i="4"/>
  <c r="F16" i="4"/>
  <c r="F6" i="4"/>
  <c r="F71" i="3"/>
  <c r="F63" i="3"/>
  <c r="F55" i="3"/>
  <c r="F48" i="3"/>
  <c r="F40" i="3"/>
  <c r="F33" i="3"/>
  <c r="F25" i="3"/>
  <c r="F17" i="3"/>
  <c r="F8" i="3"/>
  <c r="AH72" i="15"/>
  <c r="AH56" i="15"/>
  <c r="AH7" i="15"/>
  <c r="F76" i="4"/>
  <c r="F68" i="4"/>
  <c r="F60" i="4"/>
  <c r="F11" i="4"/>
  <c r="F45" i="4"/>
  <c r="F37" i="4"/>
  <c r="F30" i="4"/>
  <c r="F14" i="4"/>
  <c r="F4" i="4"/>
  <c r="X70" i="15"/>
  <c r="X62" i="15"/>
  <c r="X54" i="15"/>
  <c r="X47" i="15"/>
  <c r="X39" i="15"/>
  <c r="X32" i="15"/>
  <c r="X24" i="15"/>
  <c r="X16" i="15"/>
  <c r="X6" i="15"/>
  <c r="X69" i="15"/>
  <c r="X61" i="15"/>
  <c r="X53" i="15"/>
  <c r="X46" i="15"/>
  <c r="X38" i="15"/>
  <c r="X31" i="15"/>
  <c r="X23" i="15"/>
  <c r="X15" i="15"/>
  <c r="X5" i="15"/>
  <c r="X76" i="15"/>
  <c r="X68" i="15"/>
  <c r="X60" i="15"/>
  <c r="X11" i="15"/>
  <c r="X45" i="15"/>
  <c r="X37" i="15"/>
  <c r="X30" i="15"/>
  <c r="X22" i="15"/>
  <c r="X14" i="15"/>
  <c r="X4" i="15"/>
  <c r="X75" i="15"/>
  <c r="X67" i="15"/>
  <c r="X59" i="15"/>
  <c r="X52" i="15"/>
  <c r="X44" i="15"/>
  <c r="X36" i="15"/>
  <c r="X29" i="15"/>
  <c r="X21" i="15"/>
  <c r="X13" i="15"/>
  <c r="X3" i="15"/>
  <c r="W70" i="15"/>
  <c r="W62" i="15"/>
  <c r="W54" i="15"/>
  <c r="W47" i="15"/>
  <c r="W39" i="15"/>
  <c r="W6" i="15"/>
  <c r="X74" i="15"/>
  <c r="X66" i="15"/>
  <c r="X58" i="15"/>
  <c r="X51" i="15"/>
  <c r="X43" i="15"/>
  <c r="X35" i="15"/>
  <c r="X28" i="15"/>
  <c r="X20" i="15"/>
  <c r="X12" i="15"/>
  <c r="X2" i="15"/>
  <c r="W69" i="15"/>
  <c r="W61" i="15"/>
  <c r="W53" i="15"/>
  <c r="W46" i="15"/>
  <c r="W38" i="15"/>
  <c r="W31" i="15"/>
  <c r="W23" i="15"/>
  <c r="W15" i="15"/>
  <c r="W5" i="15"/>
  <c r="X73" i="15"/>
  <c r="X65" i="15"/>
  <c r="X57" i="15"/>
  <c r="X50" i="15"/>
  <c r="X42" i="15"/>
  <c r="X34" i="15"/>
  <c r="X27" i="15"/>
  <c r="X19" i="15"/>
  <c r="X9" i="15"/>
  <c r="X72" i="15"/>
  <c r="X64" i="15"/>
  <c r="X56" i="15"/>
  <c r="X49" i="15"/>
  <c r="X41" i="15"/>
  <c r="X10" i="15"/>
  <c r="X26" i="15"/>
  <c r="X18" i="15"/>
  <c r="X7" i="15"/>
  <c r="X71" i="15"/>
  <c r="X63" i="15"/>
  <c r="X55" i="15"/>
  <c r="X48" i="15"/>
  <c r="X40" i="15"/>
  <c r="X33" i="15"/>
  <c r="X25" i="15"/>
  <c r="X17" i="15"/>
  <c r="X8" i="15"/>
  <c r="F29" i="4"/>
  <c r="F21" i="4"/>
  <c r="F13" i="4"/>
  <c r="F3" i="4"/>
  <c r="W75" i="15"/>
  <c r="W71" i="15"/>
  <c r="W67" i="15"/>
  <c r="W63" i="15"/>
  <c r="W59" i="15"/>
  <c r="W55" i="15"/>
  <c r="W51" i="15"/>
  <c r="W43" i="15"/>
  <c r="W35" i="15"/>
  <c r="W27" i="15"/>
  <c r="W19" i="15"/>
  <c r="W11" i="15"/>
  <c r="W7" i="15"/>
  <c r="W3" i="15"/>
  <c r="W74" i="15"/>
  <c r="W66" i="15"/>
  <c r="W58" i="15"/>
  <c r="W50" i="15"/>
  <c r="W42" i="15"/>
  <c r="W34" i="15"/>
  <c r="W30" i="15"/>
  <c r="W26" i="15"/>
  <c r="W22" i="15"/>
  <c r="W18" i="15"/>
  <c r="W14" i="15"/>
  <c r="W10" i="15"/>
  <c r="W2" i="15"/>
  <c r="F70" i="3"/>
  <c r="F62" i="3"/>
  <c r="F54" i="3"/>
  <c r="F47" i="3"/>
  <c r="F39" i="3"/>
  <c r="F32" i="3"/>
  <c r="F24" i="3"/>
  <c r="F16" i="3"/>
  <c r="F6" i="3"/>
  <c r="W73" i="15"/>
  <c r="W65" i="15"/>
  <c r="W57" i="15"/>
  <c r="W49" i="15"/>
  <c r="W45" i="15"/>
  <c r="W41" i="15"/>
  <c r="W37" i="15"/>
  <c r="W33" i="15"/>
  <c r="W29" i="15"/>
  <c r="W25" i="15"/>
  <c r="W21" i="15"/>
  <c r="W17" i="15"/>
  <c r="W13" i="15"/>
  <c r="W9" i="15"/>
  <c r="W76" i="15"/>
  <c r="W72" i="15"/>
  <c r="W68" i="15"/>
  <c r="W64" i="15"/>
  <c r="W60" i="15"/>
  <c r="W56" i="15"/>
  <c r="W52" i="15"/>
  <c r="W48" i="15"/>
  <c r="W44" i="15"/>
  <c r="W40" i="15"/>
  <c r="W36" i="15"/>
  <c r="W32" i="15"/>
  <c r="W28" i="15"/>
  <c r="W24" i="15"/>
  <c r="W20" i="15"/>
  <c r="W16" i="15"/>
  <c r="W12" i="15"/>
  <c r="W8" i="15"/>
  <c r="W4" i="15"/>
  <c r="F75" i="4"/>
  <c r="F67" i="4"/>
  <c r="F59" i="4"/>
  <c r="F52" i="4"/>
  <c r="F44" i="4"/>
  <c r="F36" i="4"/>
  <c r="AH2" i="15"/>
  <c r="F73" i="4"/>
  <c r="F65" i="4"/>
  <c r="F57" i="4"/>
  <c r="F50" i="4"/>
  <c r="F42" i="4"/>
  <c r="F34" i="4"/>
  <c r="F27" i="4"/>
  <c r="F19" i="4"/>
  <c r="F9" i="4"/>
  <c r="F69" i="4"/>
  <c r="F61" i="4"/>
  <c r="F53" i="4"/>
  <c r="F46" i="4"/>
  <c r="F38" i="4"/>
  <c r="F31" i="4"/>
  <c r="F23" i="4"/>
  <c r="F15" i="4"/>
  <c r="F5" i="4"/>
  <c r="AH53" i="15"/>
  <c r="AH46" i="15"/>
  <c r="AH38" i="15"/>
  <c r="F72" i="4"/>
  <c r="F64" i="4"/>
  <c r="F56" i="4"/>
  <c r="F49" i="4"/>
  <c r="F41" i="4"/>
  <c r="F10" i="4"/>
  <c r="F26" i="4"/>
  <c r="F18" i="4"/>
  <c r="F7" i="4"/>
  <c r="F69" i="3"/>
  <c r="F61" i="3"/>
  <c r="F53" i="3"/>
  <c r="F46" i="3"/>
  <c r="F38" i="3"/>
  <c r="F31" i="3"/>
  <c r="F23" i="3"/>
  <c r="F15" i="3"/>
  <c r="F5" i="3"/>
  <c r="F22" i="4"/>
  <c r="AH6" i="15"/>
  <c r="AH13" i="15"/>
  <c r="AH16" i="15"/>
  <c r="AH21" i="15"/>
  <c r="AH24" i="15"/>
  <c r="AH32" i="15"/>
  <c r="AH36" i="15"/>
  <c r="AH47" i="15"/>
  <c r="AH49" i="15"/>
  <c r="AH52" i="15"/>
  <c r="AH54" i="15"/>
  <c r="AH62" i="15"/>
  <c r="AH63" i="15"/>
  <c r="AH70" i="15"/>
  <c r="AH66" i="15" l="1"/>
  <c r="AH18" i="15"/>
  <c r="AH59" i="15"/>
  <c r="AH67" i="15"/>
  <c r="AH29" i="15"/>
  <c r="AH48" i="15"/>
  <c r="AH75" i="15"/>
  <c r="AH26" i="15"/>
  <c r="AH3" i="15"/>
  <c r="AH15" i="15"/>
  <c r="AH10" i="15"/>
  <c r="AH58" i="15"/>
  <c r="AH31" i="15"/>
  <c r="AH61" i="15"/>
  <c r="AH5" i="15"/>
  <c r="AH69" i="15"/>
  <c r="AH33" i="15"/>
  <c r="AH55" i="15"/>
  <c r="AH40" i="15"/>
  <c r="AH12" i="15"/>
  <c r="AH41" i="15"/>
  <c r="AH74" i="15"/>
  <c r="AH43" i="15"/>
  <c r="AH20" i="15"/>
  <c r="AH17" i="15"/>
  <c r="AH8" i="15"/>
  <c r="AH71" i="15"/>
  <c r="AH35" i="15"/>
  <c r="AH23" i="15"/>
  <c r="AH51" i="15"/>
  <c r="AH25" i="15"/>
  <c r="AH28" i="15"/>
  <c r="AH22" i="15"/>
  <c r="AH14" i="15"/>
  <c r="AH68" i="15"/>
  <c r="AH60" i="15"/>
  <c r="AH11" i="15"/>
  <c r="AH45" i="15"/>
  <c r="AH37" i="15"/>
  <c r="AH30" i="15"/>
  <c r="AH4" i="15"/>
  <c r="AH76" i="15"/>
  <c r="AH73" i="15"/>
  <c r="AH65" i="15"/>
  <c r="AH57" i="15"/>
  <c r="AH42" i="15"/>
  <c r="AH34" i="15"/>
  <c r="AH27" i="15"/>
  <c r="AH19" i="15"/>
  <c r="AH9" i="15"/>
  <c r="AG2" i="15"/>
  <c r="AG3" i="15"/>
  <c r="AG4" i="15"/>
  <c r="AG5" i="15"/>
  <c r="AG6" i="15"/>
  <c r="AG7" i="15"/>
  <c r="AG8" i="15"/>
  <c r="AG9" i="15"/>
  <c r="AG10" i="15"/>
  <c r="AG11" i="15"/>
  <c r="AG12" i="15"/>
  <c r="AG13" i="15"/>
  <c r="AG14" i="15"/>
  <c r="AG15" i="15"/>
  <c r="AG16" i="15"/>
  <c r="AG17" i="15"/>
  <c r="AG18" i="15"/>
  <c r="AG19" i="15"/>
  <c r="AG20" i="15"/>
  <c r="AG21" i="15"/>
  <c r="AG22" i="15"/>
  <c r="AG23" i="15"/>
  <c r="AG24" i="15"/>
  <c r="AG25" i="15"/>
  <c r="AG26" i="15"/>
  <c r="AG27" i="15"/>
  <c r="AG28" i="15"/>
  <c r="AG29" i="15"/>
  <c r="AG30" i="15"/>
  <c r="AG31" i="15"/>
  <c r="AG32" i="15"/>
  <c r="AG33" i="15"/>
  <c r="AG34" i="15"/>
  <c r="AG35" i="15"/>
  <c r="AG36" i="15"/>
  <c r="AG37" i="15"/>
  <c r="AG38" i="15"/>
  <c r="AG39" i="15"/>
  <c r="AG40" i="15"/>
  <c r="AG41" i="15"/>
  <c r="AG42" i="15"/>
  <c r="AG43" i="15"/>
  <c r="AG44" i="15"/>
  <c r="AG45" i="15"/>
  <c r="AG46" i="15"/>
  <c r="AG47" i="15"/>
  <c r="AG48" i="15"/>
  <c r="AG49" i="15"/>
  <c r="AG50" i="15"/>
  <c r="AG51" i="15"/>
  <c r="AG52" i="15"/>
  <c r="AG53" i="15"/>
  <c r="AG54" i="15"/>
  <c r="AG55" i="15"/>
  <c r="AG56" i="15"/>
  <c r="AG57" i="15"/>
  <c r="AG58" i="15"/>
  <c r="AG59" i="15"/>
  <c r="AG60" i="15"/>
  <c r="AG61" i="15"/>
  <c r="AG62" i="15"/>
  <c r="AG63" i="15"/>
  <c r="AG64" i="15"/>
  <c r="AG65" i="15"/>
  <c r="AG66" i="15"/>
  <c r="AG67" i="15"/>
  <c r="AG68" i="15"/>
  <c r="AG69" i="15"/>
  <c r="AG70" i="15"/>
  <c r="AG71" i="15"/>
  <c r="AG72" i="15"/>
  <c r="AG73" i="15"/>
  <c r="AG74" i="15"/>
  <c r="AG75" i="15"/>
  <c r="AG76" i="15"/>
  <c r="AH50" i="15" l="1"/>
  <c r="C69" i="6" l="1"/>
  <c r="E69" i="6"/>
  <c r="F69" i="6"/>
  <c r="G69" i="6"/>
  <c r="C70" i="6"/>
  <c r="E70" i="6"/>
  <c r="F70" i="6"/>
  <c r="G70" i="6"/>
  <c r="C71" i="6"/>
  <c r="E71" i="6"/>
  <c r="F71" i="6"/>
  <c r="G71" i="6"/>
  <c r="C72" i="6"/>
  <c r="E72" i="6"/>
  <c r="F72" i="6"/>
  <c r="G72" i="6"/>
  <c r="C73" i="6"/>
  <c r="E73" i="6"/>
  <c r="F73" i="6"/>
  <c r="G73" i="6"/>
  <c r="C74" i="6"/>
  <c r="E74" i="6"/>
  <c r="F74" i="6"/>
  <c r="G74" i="6"/>
  <c r="C75" i="6"/>
  <c r="E75" i="6"/>
  <c r="F75" i="6"/>
  <c r="G75" i="6"/>
  <c r="C76" i="6"/>
  <c r="E76" i="6"/>
  <c r="F76" i="6"/>
  <c r="G76" i="6"/>
  <c r="C77" i="6"/>
  <c r="E77" i="6"/>
  <c r="F77" i="6"/>
  <c r="G77" i="6"/>
  <c r="C71" i="7"/>
  <c r="E71" i="7"/>
  <c r="F71" i="7"/>
  <c r="G71" i="7"/>
  <c r="C72" i="7"/>
  <c r="E72" i="7"/>
  <c r="F72" i="7"/>
  <c r="G72" i="7"/>
  <c r="C73" i="7"/>
  <c r="E73" i="7"/>
  <c r="F73" i="7"/>
  <c r="G73" i="7"/>
  <c r="C74" i="7"/>
  <c r="E74" i="7"/>
  <c r="F74" i="7"/>
  <c r="G74" i="7"/>
  <c r="C75" i="7"/>
  <c r="E75" i="7"/>
  <c r="F75" i="7"/>
  <c r="G75" i="7"/>
  <c r="C76" i="7"/>
  <c r="E76" i="7"/>
  <c r="F76" i="7"/>
  <c r="G76" i="7"/>
  <c r="C77" i="7"/>
  <c r="E77" i="7"/>
  <c r="F77" i="7"/>
  <c r="G77" i="7"/>
  <c r="D69" i="6"/>
  <c r="D70" i="6"/>
  <c r="D71" i="6"/>
  <c r="D72" i="6"/>
  <c r="D73" i="6"/>
  <c r="D74" i="6"/>
  <c r="D75" i="6"/>
  <c r="D76" i="6"/>
  <c r="D77" i="6"/>
  <c r="D71" i="7"/>
  <c r="D72" i="7"/>
  <c r="D73" i="7"/>
  <c r="D74" i="7"/>
  <c r="D75" i="7"/>
  <c r="D76" i="7"/>
  <c r="D77" i="7"/>
  <c r="C4" i="7" l="1"/>
  <c r="E4" i="7"/>
  <c r="F4" i="7"/>
  <c r="G4" i="7"/>
  <c r="H4" i="7"/>
  <c r="C5" i="7"/>
  <c r="E5" i="7"/>
  <c r="F5" i="7"/>
  <c r="G5" i="7"/>
  <c r="H5" i="7"/>
  <c r="C6" i="7"/>
  <c r="E6" i="7"/>
  <c r="F6" i="7"/>
  <c r="G6" i="7"/>
  <c r="H6" i="7"/>
  <c r="C7" i="7"/>
  <c r="E7" i="7"/>
  <c r="F7" i="7"/>
  <c r="G7" i="7"/>
  <c r="H7" i="7"/>
  <c r="C8" i="7"/>
  <c r="E8" i="7"/>
  <c r="F8" i="7"/>
  <c r="G8" i="7"/>
  <c r="H8" i="7"/>
  <c r="C9" i="7"/>
  <c r="E9" i="7"/>
  <c r="F9" i="7"/>
  <c r="G9" i="7"/>
  <c r="H9" i="7"/>
  <c r="C10" i="7"/>
  <c r="E10" i="7"/>
  <c r="F10" i="7"/>
  <c r="G10" i="7"/>
  <c r="H10" i="7"/>
  <c r="C11" i="7"/>
  <c r="E11" i="7"/>
  <c r="F11" i="7"/>
  <c r="G11" i="7"/>
  <c r="H11" i="7"/>
  <c r="C12" i="7"/>
  <c r="E12" i="7"/>
  <c r="F12" i="7"/>
  <c r="G12" i="7"/>
  <c r="H12" i="7"/>
  <c r="C13" i="7"/>
  <c r="E13" i="7"/>
  <c r="F13" i="7"/>
  <c r="G13" i="7"/>
  <c r="H13" i="7"/>
  <c r="C14" i="7"/>
  <c r="E14" i="7"/>
  <c r="F14" i="7"/>
  <c r="G14" i="7"/>
  <c r="H14" i="7"/>
  <c r="C15" i="7"/>
  <c r="E15" i="7"/>
  <c r="F15" i="7"/>
  <c r="G15" i="7"/>
  <c r="H15" i="7"/>
  <c r="C16" i="7"/>
  <c r="E16" i="7"/>
  <c r="F16" i="7"/>
  <c r="G16" i="7"/>
  <c r="H16" i="7"/>
  <c r="C17" i="7"/>
  <c r="E17" i="7"/>
  <c r="F17" i="7"/>
  <c r="G17" i="7"/>
  <c r="H17" i="7"/>
  <c r="C18" i="7"/>
  <c r="E18" i="7"/>
  <c r="F18" i="7"/>
  <c r="G18" i="7"/>
  <c r="H18" i="7"/>
  <c r="C19" i="7"/>
  <c r="E19" i="7"/>
  <c r="F19" i="7"/>
  <c r="G19" i="7"/>
  <c r="H19" i="7"/>
  <c r="C20" i="7"/>
  <c r="E20" i="7"/>
  <c r="F20" i="7"/>
  <c r="G20" i="7"/>
  <c r="H20" i="7"/>
  <c r="C21" i="7"/>
  <c r="E21" i="7"/>
  <c r="F21" i="7"/>
  <c r="G21" i="7"/>
  <c r="H21" i="7"/>
  <c r="C22" i="7"/>
  <c r="E22" i="7"/>
  <c r="F22" i="7"/>
  <c r="G22" i="7"/>
  <c r="H22" i="7"/>
  <c r="C23" i="7"/>
  <c r="E23" i="7"/>
  <c r="F23" i="7"/>
  <c r="G23" i="7"/>
  <c r="H23" i="7"/>
  <c r="C24" i="7"/>
  <c r="E24" i="7"/>
  <c r="F24" i="7"/>
  <c r="G24" i="7"/>
  <c r="H24" i="7"/>
  <c r="C25" i="7"/>
  <c r="E25" i="7"/>
  <c r="F25" i="7"/>
  <c r="G25" i="7"/>
  <c r="H25" i="7"/>
  <c r="C26" i="7"/>
  <c r="E26" i="7"/>
  <c r="F26" i="7"/>
  <c r="G26" i="7"/>
  <c r="H26" i="7"/>
  <c r="C27" i="7"/>
  <c r="E27" i="7"/>
  <c r="F27" i="7"/>
  <c r="G27" i="7"/>
  <c r="H27" i="7"/>
  <c r="C28" i="7"/>
  <c r="E28" i="7"/>
  <c r="F28" i="7"/>
  <c r="G28" i="7"/>
  <c r="H28" i="7"/>
  <c r="C29" i="7"/>
  <c r="E29" i="7"/>
  <c r="F29" i="7"/>
  <c r="G29" i="7"/>
  <c r="H29" i="7"/>
  <c r="C30" i="7"/>
  <c r="E30" i="7"/>
  <c r="F30" i="7"/>
  <c r="G30" i="7"/>
  <c r="H30" i="7"/>
  <c r="C31" i="7"/>
  <c r="E31" i="7"/>
  <c r="F31" i="7"/>
  <c r="G31" i="7"/>
  <c r="H31" i="7"/>
  <c r="C32" i="7"/>
  <c r="E32" i="7"/>
  <c r="F32" i="7"/>
  <c r="G32" i="7"/>
  <c r="H32" i="7"/>
  <c r="C33" i="7"/>
  <c r="E33" i="7"/>
  <c r="F33" i="7"/>
  <c r="G33" i="7"/>
  <c r="H33" i="7"/>
  <c r="C34" i="7"/>
  <c r="E34" i="7"/>
  <c r="F34" i="7"/>
  <c r="G34" i="7"/>
  <c r="H34" i="7"/>
  <c r="C35" i="7"/>
  <c r="E35" i="7"/>
  <c r="F35" i="7"/>
  <c r="G35" i="7"/>
  <c r="H35" i="7"/>
  <c r="C36" i="7"/>
  <c r="E36" i="7"/>
  <c r="F36" i="7"/>
  <c r="G36" i="7"/>
  <c r="H36" i="7"/>
  <c r="C37" i="7"/>
  <c r="E37" i="7"/>
  <c r="F37" i="7"/>
  <c r="G37" i="7"/>
  <c r="H37" i="7"/>
  <c r="C38" i="7"/>
  <c r="E38" i="7"/>
  <c r="F38" i="7"/>
  <c r="G38" i="7"/>
  <c r="H38" i="7"/>
  <c r="C39" i="7"/>
  <c r="E39" i="7"/>
  <c r="F39" i="7"/>
  <c r="G39" i="7"/>
  <c r="H39" i="7"/>
  <c r="C40" i="7"/>
  <c r="E40" i="7"/>
  <c r="F40" i="7"/>
  <c r="G40" i="7"/>
  <c r="H40" i="7"/>
  <c r="C41" i="7"/>
  <c r="E41" i="7"/>
  <c r="F41" i="7"/>
  <c r="G41" i="7"/>
  <c r="H41" i="7"/>
  <c r="C42" i="7"/>
  <c r="E42" i="7"/>
  <c r="F42" i="7"/>
  <c r="G42" i="7"/>
  <c r="H42" i="7"/>
  <c r="C43" i="7"/>
  <c r="E43" i="7"/>
  <c r="F43" i="7"/>
  <c r="G43" i="7"/>
  <c r="H43" i="7"/>
  <c r="C44" i="7"/>
  <c r="E44" i="7"/>
  <c r="F44" i="7"/>
  <c r="G44" i="7"/>
  <c r="H44" i="7"/>
  <c r="C45" i="7"/>
  <c r="E45" i="7"/>
  <c r="F45" i="7"/>
  <c r="G45" i="7"/>
  <c r="H45" i="7"/>
  <c r="C46" i="7"/>
  <c r="E46" i="7"/>
  <c r="F46" i="7"/>
  <c r="G46" i="7"/>
  <c r="H46" i="7"/>
  <c r="C47" i="7"/>
  <c r="E47" i="7"/>
  <c r="F47" i="7"/>
  <c r="G47" i="7"/>
  <c r="H47" i="7"/>
  <c r="C48" i="7"/>
  <c r="E48" i="7"/>
  <c r="F48" i="7"/>
  <c r="G48" i="7"/>
  <c r="H48" i="7"/>
  <c r="C49" i="7"/>
  <c r="E49" i="7"/>
  <c r="F49" i="7"/>
  <c r="G49" i="7"/>
  <c r="H49" i="7"/>
  <c r="C50" i="7"/>
  <c r="E50" i="7"/>
  <c r="F50" i="7"/>
  <c r="G50" i="7"/>
  <c r="H50" i="7"/>
  <c r="C51" i="7"/>
  <c r="E51" i="7"/>
  <c r="F51" i="7"/>
  <c r="G51" i="7"/>
  <c r="H51" i="7"/>
  <c r="C52" i="7"/>
  <c r="E52" i="7"/>
  <c r="F52" i="7"/>
  <c r="G52" i="7"/>
  <c r="H52" i="7"/>
  <c r="C53" i="7"/>
  <c r="E53" i="7"/>
  <c r="F53" i="7"/>
  <c r="G53" i="7"/>
  <c r="H53" i="7"/>
  <c r="C54" i="7"/>
  <c r="E54" i="7"/>
  <c r="F54" i="7"/>
  <c r="G54" i="7"/>
  <c r="H54" i="7"/>
  <c r="C55" i="7"/>
  <c r="E55" i="7"/>
  <c r="F55" i="7"/>
  <c r="G55" i="7"/>
  <c r="H55" i="7"/>
  <c r="C56" i="7"/>
  <c r="E56" i="7"/>
  <c r="F56" i="7"/>
  <c r="G56" i="7"/>
  <c r="H56" i="7"/>
  <c r="C57" i="7"/>
  <c r="E57" i="7"/>
  <c r="F57" i="7"/>
  <c r="G57" i="7"/>
  <c r="H57" i="7"/>
  <c r="C58" i="7"/>
  <c r="E58" i="7"/>
  <c r="F58" i="7"/>
  <c r="G58" i="7"/>
  <c r="H58" i="7"/>
  <c r="C59" i="7"/>
  <c r="E59" i="7"/>
  <c r="F59" i="7"/>
  <c r="G59" i="7"/>
  <c r="H59" i="7"/>
  <c r="C60" i="7"/>
  <c r="E60" i="7"/>
  <c r="F60" i="7"/>
  <c r="G60" i="7"/>
  <c r="H60" i="7"/>
  <c r="C61" i="7"/>
  <c r="E61" i="7"/>
  <c r="F61" i="7"/>
  <c r="G61" i="7"/>
  <c r="H61" i="7"/>
  <c r="C62" i="7"/>
  <c r="E62" i="7"/>
  <c r="F62" i="7"/>
  <c r="G62" i="7"/>
  <c r="H62" i="7"/>
  <c r="C63" i="7"/>
  <c r="E63" i="7"/>
  <c r="F63" i="7"/>
  <c r="G63" i="7"/>
  <c r="H63" i="7"/>
  <c r="C64" i="7"/>
  <c r="E64" i="7"/>
  <c r="F64" i="7"/>
  <c r="G64" i="7"/>
  <c r="H64" i="7"/>
  <c r="C65" i="7"/>
  <c r="E65" i="7"/>
  <c r="F65" i="7"/>
  <c r="G65" i="7"/>
  <c r="H65" i="7"/>
  <c r="C66" i="7"/>
  <c r="E66" i="7"/>
  <c r="F66" i="7"/>
  <c r="G66" i="7"/>
  <c r="H66" i="7"/>
  <c r="C67" i="7"/>
  <c r="E67" i="7"/>
  <c r="F67" i="7"/>
  <c r="G67" i="7"/>
  <c r="H67" i="7"/>
  <c r="C68" i="7"/>
  <c r="E68" i="7"/>
  <c r="F68" i="7"/>
  <c r="G68" i="7"/>
  <c r="H68" i="7"/>
  <c r="C69" i="7"/>
  <c r="E69" i="7"/>
  <c r="F69" i="7"/>
  <c r="G69" i="7"/>
  <c r="H69" i="7"/>
  <c r="C70" i="7"/>
  <c r="E70" i="7"/>
  <c r="F70" i="7"/>
  <c r="G70" i="7"/>
  <c r="H70" i="7"/>
  <c r="C4" i="6"/>
  <c r="E4" i="6"/>
  <c r="F4" i="6"/>
  <c r="G4" i="6"/>
  <c r="H4" i="6"/>
  <c r="C5" i="6"/>
  <c r="E5" i="6"/>
  <c r="F5" i="6"/>
  <c r="G5" i="6"/>
  <c r="H5" i="6"/>
  <c r="C6" i="6"/>
  <c r="E6" i="6"/>
  <c r="F6" i="6"/>
  <c r="G6" i="6"/>
  <c r="H6" i="6"/>
  <c r="C7" i="6"/>
  <c r="E7" i="6"/>
  <c r="F7" i="6"/>
  <c r="G7" i="6"/>
  <c r="H7" i="6"/>
  <c r="C8" i="6"/>
  <c r="E8" i="6"/>
  <c r="F8" i="6"/>
  <c r="G8" i="6"/>
  <c r="H8" i="6"/>
  <c r="C9" i="6"/>
  <c r="E9" i="6"/>
  <c r="F9" i="6"/>
  <c r="G9" i="6"/>
  <c r="H9" i="6"/>
  <c r="C10" i="6"/>
  <c r="E10" i="6"/>
  <c r="F10" i="6"/>
  <c r="G10" i="6"/>
  <c r="H10" i="6"/>
  <c r="C11" i="6"/>
  <c r="E11" i="6"/>
  <c r="F11" i="6"/>
  <c r="G11" i="6"/>
  <c r="H11" i="6"/>
  <c r="C12" i="6"/>
  <c r="E12" i="6"/>
  <c r="F12" i="6"/>
  <c r="G12" i="6"/>
  <c r="H12" i="6"/>
  <c r="C13" i="6"/>
  <c r="E13" i="6"/>
  <c r="F13" i="6"/>
  <c r="G13" i="6"/>
  <c r="H13" i="6"/>
  <c r="C14" i="6"/>
  <c r="E14" i="6"/>
  <c r="F14" i="6"/>
  <c r="G14" i="6"/>
  <c r="H14" i="6"/>
  <c r="C15" i="6"/>
  <c r="E15" i="6"/>
  <c r="F15" i="6"/>
  <c r="G15" i="6"/>
  <c r="H15" i="6"/>
  <c r="C16" i="6"/>
  <c r="E16" i="6"/>
  <c r="F16" i="6"/>
  <c r="G16" i="6"/>
  <c r="H16" i="6"/>
  <c r="C17" i="6"/>
  <c r="E17" i="6"/>
  <c r="F17" i="6"/>
  <c r="G17" i="6"/>
  <c r="H17" i="6"/>
  <c r="C18" i="6"/>
  <c r="E18" i="6"/>
  <c r="F18" i="6"/>
  <c r="G18" i="6"/>
  <c r="H18" i="6"/>
  <c r="C19" i="6"/>
  <c r="E19" i="6"/>
  <c r="F19" i="6"/>
  <c r="G19" i="6"/>
  <c r="H19" i="6"/>
  <c r="C20" i="6"/>
  <c r="E20" i="6"/>
  <c r="F20" i="6"/>
  <c r="G20" i="6"/>
  <c r="H20" i="6"/>
  <c r="C21" i="6"/>
  <c r="E21" i="6"/>
  <c r="F21" i="6"/>
  <c r="G21" i="6"/>
  <c r="H21" i="6"/>
  <c r="C22" i="6"/>
  <c r="E22" i="6"/>
  <c r="F22" i="6"/>
  <c r="G22" i="6"/>
  <c r="H22" i="6"/>
  <c r="C23" i="6"/>
  <c r="E23" i="6"/>
  <c r="F23" i="6"/>
  <c r="G23" i="6"/>
  <c r="H23" i="6"/>
  <c r="C24" i="6"/>
  <c r="E24" i="6"/>
  <c r="F24" i="6"/>
  <c r="G24" i="6"/>
  <c r="H24" i="6"/>
  <c r="C25" i="6"/>
  <c r="E25" i="6"/>
  <c r="F25" i="6"/>
  <c r="G25" i="6"/>
  <c r="H25" i="6"/>
  <c r="C26" i="6"/>
  <c r="E26" i="6"/>
  <c r="F26" i="6"/>
  <c r="G26" i="6"/>
  <c r="H26" i="6"/>
  <c r="C27" i="6"/>
  <c r="E27" i="6"/>
  <c r="F27" i="6"/>
  <c r="G27" i="6"/>
  <c r="H27" i="6"/>
  <c r="C28" i="6"/>
  <c r="E28" i="6"/>
  <c r="F28" i="6"/>
  <c r="G28" i="6"/>
  <c r="H28" i="6"/>
  <c r="C29" i="6"/>
  <c r="E29" i="6"/>
  <c r="F29" i="6"/>
  <c r="G29" i="6"/>
  <c r="H29" i="6"/>
  <c r="C30" i="6"/>
  <c r="E30" i="6"/>
  <c r="F30" i="6"/>
  <c r="G30" i="6"/>
  <c r="H30" i="6"/>
  <c r="C31" i="6"/>
  <c r="E31" i="6"/>
  <c r="F31" i="6"/>
  <c r="G31" i="6"/>
  <c r="H31" i="6"/>
  <c r="C32" i="6"/>
  <c r="E32" i="6"/>
  <c r="F32" i="6"/>
  <c r="G32" i="6"/>
  <c r="H32" i="6"/>
  <c r="C33" i="6"/>
  <c r="E33" i="6"/>
  <c r="F33" i="6"/>
  <c r="G33" i="6"/>
  <c r="H33" i="6"/>
  <c r="C34" i="6"/>
  <c r="E34" i="6"/>
  <c r="F34" i="6"/>
  <c r="G34" i="6"/>
  <c r="H34" i="6"/>
  <c r="C35" i="6"/>
  <c r="E35" i="6"/>
  <c r="F35" i="6"/>
  <c r="G35" i="6"/>
  <c r="H35" i="6"/>
  <c r="C36" i="6"/>
  <c r="E36" i="6"/>
  <c r="F36" i="6"/>
  <c r="G36" i="6"/>
  <c r="H36" i="6"/>
  <c r="C37" i="6"/>
  <c r="E37" i="6"/>
  <c r="G37" i="6"/>
  <c r="H37" i="6"/>
  <c r="C38" i="6"/>
  <c r="E38" i="6"/>
  <c r="F38" i="6"/>
  <c r="G38" i="6"/>
  <c r="H38" i="6"/>
  <c r="C39" i="6"/>
  <c r="E39" i="6"/>
  <c r="F39" i="6"/>
  <c r="G39" i="6"/>
  <c r="H39" i="6"/>
  <c r="C40" i="6"/>
  <c r="E40" i="6"/>
  <c r="F40" i="6"/>
  <c r="G40" i="6"/>
  <c r="H40" i="6"/>
  <c r="C41" i="6"/>
  <c r="E41" i="6"/>
  <c r="F41" i="6"/>
  <c r="G41" i="6"/>
  <c r="H41" i="6"/>
  <c r="C42" i="6"/>
  <c r="E42" i="6"/>
  <c r="F42" i="6"/>
  <c r="G42" i="6"/>
  <c r="H42" i="6"/>
  <c r="C43" i="6"/>
  <c r="E43" i="6"/>
  <c r="F43" i="6"/>
  <c r="G43" i="6"/>
  <c r="H43" i="6"/>
  <c r="C44" i="6"/>
  <c r="E44" i="6"/>
  <c r="F44" i="6"/>
  <c r="G44" i="6"/>
  <c r="H44" i="6"/>
  <c r="C45" i="6"/>
  <c r="E45" i="6"/>
  <c r="F45" i="6"/>
  <c r="G45" i="6"/>
  <c r="H45" i="6"/>
  <c r="C46" i="6"/>
  <c r="E46" i="6"/>
  <c r="F46" i="6"/>
  <c r="G46" i="6"/>
  <c r="H46" i="6"/>
  <c r="C47" i="6"/>
  <c r="E47" i="6"/>
  <c r="F47" i="6"/>
  <c r="G47" i="6"/>
  <c r="H47" i="6"/>
  <c r="C48" i="6"/>
  <c r="E48" i="6"/>
  <c r="F48" i="6"/>
  <c r="G48" i="6"/>
  <c r="H48" i="6"/>
  <c r="C49" i="6"/>
  <c r="E49" i="6"/>
  <c r="F49" i="6"/>
  <c r="G49" i="6"/>
  <c r="H49" i="6"/>
  <c r="C50" i="6"/>
  <c r="E50" i="6"/>
  <c r="F50" i="6"/>
  <c r="G50" i="6"/>
  <c r="H50" i="6"/>
  <c r="C51" i="6"/>
  <c r="E51" i="6"/>
  <c r="F51" i="6"/>
  <c r="G51" i="6"/>
  <c r="H51" i="6"/>
  <c r="C52" i="6"/>
  <c r="E52" i="6"/>
  <c r="F52" i="6"/>
  <c r="G52" i="6"/>
  <c r="H52" i="6"/>
  <c r="C53" i="6"/>
  <c r="E53" i="6"/>
  <c r="F53" i="6"/>
  <c r="G53" i="6"/>
  <c r="H53" i="6"/>
  <c r="C54" i="6"/>
  <c r="E54" i="6"/>
  <c r="F54" i="6"/>
  <c r="G54" i="6"/>
  <c r="H54" i="6"/>
  <c r="C55" i="6"/>
  <c r="E55" i="6"/>
  <c r="F55" i="6"/>
  <c r="G55" i="6"/>
  <c r="H55" i="6"/>
  <c r="C56" i="6"/>
  <c r="E56" i="6"/>
  <c r="F56" i="6"/>
  <c r="G56" i="6"/>
  <c r="H56" i="6"/>
  <c r="C57" i="6"/>
  <c r="E57" i="6"/>
  <c r="F57" i="6"/>
  <c r="G57" i="6"/>
  <c r="H57" i="6"/>
  <c r="C58" i="6"/>
  <c r="E58" i="6"/>
  <c r="F58" i="6"/>
  <c r="G58" i="6"/>
  <c r="H58" i="6"/>
  <c r="C59" i="6"/>
  <c r="E59" i="6"/>
  <c r="F59" i="6"/>
  <c r="G59" i="6"/>
  <c r="H59" i="6"/>
  <c r="C60" i="6"/>
  <c r="E60" i="6"/>
  <c r="F60" i="6"/>
  <c r="G60" i="6"/>
  <c r="H60" i="6"/>
  <c r="C61" i="6"/>
  <c r="E61" i="6"/>
  <c r="F61" i="6"/>
  <c r="G61" i="6"/>
  <c r="H61" i="6"/>
  <c r="C62" i="6"/>
  <c r="E62" i="6"/>
  <c r="F62" i="6"/>
  <c r="G62" i="6"/>
  <c r="H62" i="6"/>
  <c r="C63" i="6"/>
  <c r="E63" i="6"/>
  <c r="F63" i="6"/>
  <c r="G63" i="6"/>
  <c r="H63" i="6"/>
  <c r="C64" i="6"/>
  <c r="E64" i="6"/>
  <c r="F64" i="6"/>
  <c r="G64" i="6"/>
  <c r="H64" i="6"/>
  <c r="C65" i="6"/>
  <c r="E65" i="6"/>
  <c r="F65" i="6"/>
  <c r="G65" i="6"/>
  <c r="H65" i="6"/>
  <c r="C66" i="6"/>
  <c r="E66" i="6"/>
  <c r="F66" i="6"/>
  <c r="G66" i="6"/>
  <c r="H66" i="6"/>
  <c r="C67" i="6"/>
  <c r="E67" i="6"/>
  <c r="F67" i="6"/>
  <c r="G67" i="6"/>
  <c r="H67" i="6"/>
  <c r="C68" i="6"/>
  <c r="E68" i="6"/>
  <c r="F68" i="6"/>
  <c r="G68" i="6"/>
  <c r="H68" i="6"/>
  <c r="H69" i="6"/>
  <c r="H70" i="6"/>
  <c r="D56" i="7" l="1"/>
  <c r="D40" i="7"/>
  <c r="D32" i="7"/>
  <c r="D24" i="7"/>
  <c r="D16" i="7"/>
  <c r="D8" i="7"/>
  <c r="D64" i="6"/>
  <c r="D56" i="6"/>
  <c r="D48" i="6"/>
  <c r="D40" i="6"/>
  <c r="D32" i="6"/>
  <c r="D24" i="6"/>
  <c r="D16" i="6"/>
  <c r="D8" i="6"/>
  <c r="D64" i="7"/>
  <c r="D48" i="7"/>
  <c r="D69" i="7"/>
  <c r="D37" i="7"/>
  <c r="D5" i="7"/>
  <c r="D68" i="7"/>
  <c r="D60" i="7"/>
  <c r="D52" i="7"/>
  <c r="D44" i="7"/>
  <c r="D36" i="7"/>
  <c r="D28" i="7"/>
  <c r="D20" i="7"/>
  <c r="D12" i="7"/>
  <c r="D4" i="7"/>
  <c r="D68" i="6"/>
  <c r="D60" i="6"/>
  <c r="D52" i="6"/>
  <c r="D44" i="6"/>
  <c r="D36" i="6"/>
  <c r="D28" i="6"/>
  <c r="D20" i="6"/>
  <c r="D12" i="6"/>
  <c r="D4" i="6"/>
  <c r="D65" i="7"/>
  <c r="D57" i="7"/>
  <c r="D49" i="7"/>
  <c r="D41" i="7"/>
  <c r="D33" i="7"/>
  <c r="D25" i="7"/>
  <c r="D17" i="7"/>
  <c r="D9" i="7"/>
  <c r="D65" i="6"/>
  <c r="D57" i="6"/>
  <c r="D49" i="6"/>
  <c r="D41" i="6"/>
  <c r="D33" i="6"/>
  <c r="D25" i="6"/>
  <c r="D17" i="6"/>
  <c r="D9" i="6"/>
  <c r="D63" i="7"/>
  <c r="D55" i="7"/>
  <c r="D47" i="7"/>
  <c r="D39" i="7"/>
  <c r="D31" i="7"/>
  <c r="D23" i="7"/>
  <c r="D15" i="7"/>
  <c r="D7" i="7"/>
  <c r="D54" i="7"/>
  <c r="D30" i="7"/>
  <c r="D6" i="7"/>
  <c r="D62" i="7"/>
  <c r="D38" i="7"/>
  <c r="D14" i="7"/>
  <c r="D61" i="7"/>
  <c r="D53" i="7"/>
  <c r="D45" i="7"/>
  <c r="D29" i="7"/>
  <c r="D21" i="7"/>
  <c r="D13" i="7"/>
  <c r="D61" i="6"/>
  <c r="D53" i="6"/>
  <c r="D45" i="6"/>
  <c r="D37" i="6"/>
  <c r="D29" i="6"/>
  <c r="D21" i="6"/>
  <c r="D13" i="6"/>
  <c r="D5" i="6"/>
  <c r="D70" i="7"/>
  <c r="D46" i="7"/>
  <c r="D22" i="7"/>
  <c r="D59" i="7"/>
  <c r="D43" i="7"/>
  <c r="D19" i="7"/>
  <c r="D11" i="7"/>
  <c r="D67" i="7"/>
  <c r="D51" i="7"/>
  <c r="D35" i="7"/>
  <c r="D27" i="7"/>
  <c r="D66" i="7"/>
  <c r="D58" i="7"/>
  <c r="D50" i="7"/>
  <c r="D42" i="7"/>
  <c r="D34" i="7"/>
  <c r="D26" i="7"/>
  <c r="D18" i="7"/>
  <c r="D10" i="7"/>
  <c r="D55" i="6"/>
  <c r="D39" i="6"/>
  <c r="D23" i="6"/>
  <c r="D7" i="6"/>
  <c r="D47" i="6"/>
  <c r="D31" i="6"/>
  <c r="D15" i="6"/>
  <c r="D63" i="6"/>
  <c r="D67" i="6"/>
  <c r="D59" i="6"/>
  <c r="D51" i="6"/>
  <c r="D43" i="6"/>
  <c r="D35" i="6"/>
  <c r="D27" i="6"/>
  <c r="D19" i="6"/>
  <c r="D11" i="6"/>
  <c r="D66" i="6"/>
  <c r="D58" i="6"/>
  <c r="D50" i="6"/>
  <c r="D42" i="6"/>
  <c r="D34" i="6"/>
  <c r="D26" i="6"/>
  <c r="D18" i="6"/>
  <c r="D10" i="6"/>
  <c r="D62" i="6"/>
  <c r="D54" i="6"/>
  <c r="D46" i="6"/>
  <c r="D38" i="6"/>
  <c r="D30" i="6"/>
  <c r="D22" i="6"/>
  <c r="D14" i="6"/>
  <c r="D6" i="6"/>
  <c r="C3" i="6"/>
  <c r="C3" i="7"/>
  <c r="P2" i="3" l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1" i="3"/>
  <c r="P72" i="3"/>
  <c r="P73" i="3"/>
  <c r="P74" i="3"/>
  <c r="P75" i="3"/>
  <c r="P76" i="3"/>
  <c r="P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1" i="4"/>
  <c r="P72" i="4"/>
  <c r="P73" i="4"/>
  <c r="P74" i="4"/>
  <c r="P75" i="4"/>
  <c r="P76" i="4"/>
  <c r="H3" i="6" l="1"/>
  <c r="G3" i="6"/>
  <c r="F3" i="6"/>
  <c r="E3" i="6"/>
  <c r="D3" i="6"/>
  <c r="H3" i="7"/>
  <c r="G3" i="7"/>
  <c r="F3" i="7"/>
  <c r="E3" i="7"/>
  <c r="D3" i="7"/>
  <c r="E2" i="4" l="1"/>
  <c r="E3" i="4"/>
  <c r="E67" i="4"/>
  <c r="E36" i="4"/>
  <c r="E13" i="4"/>
  <c r="E46" i="4"/>
  <c r="E31" i="4"/>
  <c r="E16" i="4"/>
  <c r="E26" i="4"/>
  <c r="E57" i="4"/>
  <c r="E69" i="4"/>
  <c r="E11" i="4"/>
  <c r="E75" i="4"/>
  <c r="E44" i="4"/>
  <c r="E21" i="4"/>
  <c r="E18" i="4"/>
  <c r="E54" i="4"/>
  <c r="E39" i="4"/>
  <c r="E24" i="4"/>
  <c r="E74" i="4"/>
  <c r="E65" i="4"/>
  <c r="E15" i="4"/>
  <c r="E28" i="4"/>
  <c r="E8" i="4"/>
  <c r="E19" i="4"/>
  <c r="E10" i="4"/>
  <c r="E52" i="4"/>
  <c r="E29" i="4"/>
  <c r="E58" i="4"/>
  <c r="E62" i="4"/>
  <c r="E47" i="4"/>
  <c r="E32" i="4"/>
  <c r="E9" i="4"/>
  <c r="E73" i="4"/>
  <c r="E64" i="4"/>
  <c r="E59" i="4"/>
  <c r="E72" i="4"/>
  <c r="E27" i="4"/>
  <c r="E50" i="4"/>
  <c r="E60" i="4"/>
  <c r="E37" i="4"/>
  <c r="E6" i="4"/>
  <c r="E70" i="4"/>
  <c r="E55" i="4"/>
  <c r="E40" i="4"/>
  <c r="E17" i="4"/>
  <c r="E30" i="4"/>
  <c r="E38" i="4"/>
  <c r="E35" i="4"/>
  <c r="E4" i="4"/>
  <c r="E68" i="4"/>
  <c r="E45" i="4"/>
  <c r="E14" i="4"/>
  <c r="E42" i="4"/>
  <c r="E63" i="4"/>
  <c r="E48" i="4"/>
  <c r="E25" i="4"/>
  <c r="E51" i="4"/>
  <c r="E34" i="4"/>
  <c r="E66" i="4"/>
  <c r="E5" i="4"/>
  <c r="E49" i="4"/>
  <c r="E43" i="4"/>
  <c r="E12" i="4"/>
  <c r="E76" i="4"/>
  <c r="E53" i="4"/>
  <c r="E22" i="4"/>
  <c r="E7" i="4"/>
  <c r="E71" i="4"/>
  <c r="E56" i="4"/>
  <c r="E33" i="4"/>
  <c r="E20" i="4"/>
  <c r="E61" i="4"/>
  <c r="E41" i="4"/>
  <c r="E23" i="4"/>
  <c r="E2" i="3"/>
  <c r="E3" i="3"/>
  <c r="E67" i="3"/>
  <c r="E44" i="3"/>
  <c r="E21" i="3"/>
  <c r="E41" i="3"/>
  <c r="E62" i="3"/>
  <c r="E55" i="3"/>
  <c r="E48" i="3"/>
  <c r="E17" i="3"/>
  <c r="E66" i="3"/>
  <c r="E11" i="3"/>
  <c r="E75" i="3"/>
  <c r="E52" i="3"/>
  <c r="E29" i="3"/>
  <c r="E6" i="3"/>
  <c r="E70" i="3"/>
  <c r="E63" i="3"/>
  <c r="E56" i="3"/>
  <c r="E10" i="3"/>
  <c r="E74" i="3"/>
  <c r="E19" i="3"/>
  <c r="E73" i="3"/>
  <c r="E60" i="3"/>
  <c r="E37" i="3"/>
  <c r="E14" i="3"/>
  <c r="E7" i="3"/>
  <c r="E71" i="3"/>
  <c r="E64" i="3"/>
  <c r="E18" i="3"/>
  <c r="E65" i="3"/>
  <c r="E27" i="3"/>
  <c r="E4" i="3"/>
  <c r="E68" i="3"/>
  <c r="E45" i="3"/>
  <c r="E22" i="3"/>
  <c r="E15" i="3"/>
  <c r="E8" i="3"/>
  <c r="E72" i="3"/>
  <c r="E26" i="3"/>
  <c r="E25" i="3"/>
  <c r="E35" i="3"/>
  <c r="E12" i="3"/>
  <c r="E76" i="3"/>
  <c r="E53" i="3"/>
  <c r="E30" i="3"/>
  <c r="E23" i="3"/>
  <c r="E16" i="3"/>
  <c r="E43" i="3"/>
  <c r="E20" i="3"/>
  <c r="E57" i="3"/>
  <c r="E61" i="3"/>
  <c r="E38" i="3"/>
  <c r="E31" i="3"/>
  <c r="E24" i="3"/>
  <c r="E33" i="3"/>
  <c r="E42" i="3"/>
  <c r="E51" i="3"/>
  <c r="E28" i="3"/>
  <c r="E5" i="3"/>
  <c r="E69" i="3"/>
  <c r="E46" i="3"/>
  <c r="E39" i="3"/>
  <c r="E32" i="3"/>
  <c r="E49" i="3"/>
  <c r="E50" i="3"/>
  <c r="E59" i="3"/>
  <c r="E36" i="3"/>
  <c r="E13" i="3"/>
  <c r="E54" i="3"/>
  <c r="E47" i="3"/>
  <c r="E40" i="3"/>
  <c r="E9" i="3"/>
  <c r="E58" i="3"/>
  <c r="E34" i="3"/>
  <c r="C3" i="15" l="1"/>
  <c r="D3" i="15"/>
  <c r="E3" i="15"/>
  <c r="F3" i="15"/>
  <c r="G3" i="15"/>
  <c r="H3" i="15"/>
  <c r="I3" i="15"/>
  <c r="Q3" i="15"/>
  <c r="R3" i="15"/>
  <c r="S3" i="15"/>
  <c r="T3" i="15"/>
  <c r="C4" i="15"/>
  <c r="D4" i="15"/>
  <c r="E4" i="15"/>
  <c r="F4" i="15"/>
  <c r="G4" i="15"/>
  <c r="H4" i="15"/>
  <c r="I4" i="15"/>
  <c r="Q4" i="15"/>
  <c r="R4" i="15"/>
  <c r="S4" i="15"/>
  <c r="T4" i="15"/>
  <c r="C5" i="15"/>
  <c r="D5" i="15"/>
  <c r="E5" i="15"/>
  <c r="F5" i="15"/>
  <c r="G5" i="15"/>
  <c r="H5" i="15"/>
  <c r="I5" i="15"/>
  <c r="Q5" i="15"/>
  <c r="R5" i="15"/>
  <c r="S5" i="15"/>
  <c r="T5" i="15"/>
  <c r="C6" i="15"/>
  <c r="D6" i="15"/>
  <c r="E6" i="15"/>
  <c r="F6" i="15"/>
  <c r="G6" i="15"/>
  <c r="H6" i="15"/>
  <c r="I6" i="15"/>
  <c r="Q6" i="15"/>
  <c r="R6" i="15"/>
  <c r="S6" i="15"/>
  <c r="T6" i="15"/>
  <c r="C7" i="15"/>
  <c r="D7" i="15"/>
  <c r="E7" i="15"/>
  <c r="F7" i="15"/>
  <c r="G7" i="15"/>
  <c r="H7" i="15"/>
  <c r="I7" i="15"/>
  <c r="Q7" i="15"/>
  <c r="R7" i="15"/>
  <c r="S7" i="15"/>
  <c r="T7" i="15"/>
  <c r="C8" i="15"/>
  <c r="D8" i="15"/>
  <c r="E8" i="15"/>
  <c r="F8" i="15"/>
  <c r="G8" i="15"/>
  <c r="H8" i="15"/>
  <c r="I8" i="15"/>
  <c r="Q8" i="15"/>
  <c r="R8" i="15"/>
  <c r="S8" i="15"/>
  <c r="T8" i="15"/>
  <c r="C9" i="15"/>
  <c r="D9" i="15"/>
  <c r="E9" i="15"/>
  <c r="F9" i="15"/>
  <c r="G9" i="15"/>
  <c r="H9" i="15"/>
  <c r="I9" i="15"/>
  <c r="Q9" i="15"/>
  <c r="R9" i="15"/>
  <c r="S9" i="15"/>
  <c r="T9" i="15"/>
  <c r="C10" i="15"/>
  <c r="D10" i="15"/>
  <c r="E10" i="15"/>
  <c r="F10" i="15"/>
  <c r="G10" i="15"/>
  <c r="H10" i="15"/>
  <c r="I10" i="15"/>
  <c r="Q10" i="15"/>
  <c r="R10" i="15"/>
  <c r="S10" i="15"/>
  <c r="T10" i="15"/>
  <c r="C11" i="15"/>
  <c r="D11" i="15"/>
  <c r="E11" i="15"/>
  <c r="F11" i="15"/>
  <c r="G11" i="15"/>
  <c r="H11" i="15"/>
  <c r="I11" i="15"/>
  <c r="Q11" i="15"/>
  <c r="R11" i="15"/>
  <c r="S11" i="15"/>
  <c r="T11" i="15"/>
  <c r="C12" i="15"/>
  <c r="D12" i="15"/>
  <c r="E12" i="15"/>
  <c r="F12" i="15"/>
  <c r="G12" i="15"/>
  <c r="H12" i="15"/>
  <c r="I12" i="15"/>
  <c r="Q12" i="15"/>
  <c r="R12" i="15"/>
  <c r="S12" i="15"/>
  <c r="T12" i="15"/>
  <c r="C13" i="15"/>
  <c r="D13" i="15"/>
  <c r="E13" i="15"/>
  <c r="F13" i="15"/>
  <c r="G13" i="15"/>
  <c r="H13" i="15"/>
  <c r="I13" i="15"/>
  <c r="Q13" i="15"/>
  <c r="R13" i="15"/>
  <c r="S13" i="15"/>
  <c r="T13" i="15"/>
  <c r="C14" i="15"/>
  <c r="D14" i="15"/>
  <c r="E14" i="15"/>
  <c r="F14" i="15"/>
  <c r="G14" i="15"/>
  <c r="H14" i="15"/>
  <c r="I14" i="15"/>
  <c r="Q14" i="15"/>
  <c r="R14" i="15"/>
  <c r="S14" i="15"/>
  <c r="T14" i="15"/>
  <c r="C15" i="15"/>
  <c r="D15" i="15"/>
  <c r="E15" i="15"/>
  <c r="F15" i="15"/>
  <c r="G15" i="15"/>
  <c r="H15" i="15"/>
  <c r="I15" i="15"/>
  <c r="Q15" i="15"/>
  <c r="R15" i="15"/>
  <c r="S15" i="15"/>
  <c r="T15" i="15"/>
  <c r="C16" i="15"/>
  <c r="D16" i="15"/>
  <c r="E16" i="15"/>
  <c r="F16" i="15"/>
  <c r="G16" i="15"/>
  <c r="H16" i="15"/>
  <c r="I16" i="15"/>
  <c r="Q16" i="15"/>
  <c r="R16" i="15"/>
  <c r="S16" i="15"/>
  <c r="T16" i="15"/>
  <c r="C17" i="15"/>
  <c r="D17" i="15"/>
  <c r="E17" i="15"/>
  <c r="F17" i="15"/>
  <c r="G17" i="15"/>
  <c r="H17" i="15"/>
  <c r="I17" i="15"/>
  <c r="Q17" i="15"/>
  <c r="R17" i="15"/>
  <c r="S17" i="15"/>
  <c r="T17" i="15"/>
  <c r="C18" i="15"/>
  <c r="D18" i="15"/>
  <c r="E18" i="15"/>
  <c r="F18" i="15"/>
  <c r="G18" i="15"/>
  <c r="H18" i="15"/>
  <c r="I18" i="15"/>
  <c r="Q18" i="15"/>
  <c r="R18" i="15"/>
  <c r="S18" i="15"/>
  <c r="T18" i="15"/>
  <c r="C19" i="15"/>
  <c r="D19" i="15"/>
  <c r="E19" i="15"/>
  <c r="F19" i="15"/>
  <c r="G19" i="15"/>
  <c r="H19" i="15"/>
  <c r="I19" i="15"/>
  <c r="Q19" i="15"/>
  <c r="R19" i="15"/>
  <c r="S19" i="15"/>
  <c r="T19" i="15"/>
  <c r="C20" i="15"/>
  <c r="D20" i="15"/>
  <c r="E20" i="15"/>
  <c r="F20" i="15"/>
  <c r="G20" i="15"/>
  <c r="H20" i="15"/>
  <c r="I20" i="15"/>
  <c r="Q20" i="15"/>
  <c r="R20" i="15"/>
  <c r="S20" i="15"/>
  <c r="T20" i="15"/>
  <c r="C21" i="15"/>
  <c r="D21" i="15"/>
  <c r="E21" i="15"/>
  <c r="F21" i="15"/>
  <c r="G21" i="15"/>
  <c r="H21" i="15"/>
  <c r="I21" i="15"/>
  <c r="Q21" i="15"/>
  <c r="R21" i="15"/>
  <c r="S21" i="15"/>
  <c r="T21" i="15"/>
  <c r="C22" i="15"/>
  <c r="D22" i="15"/>
  <c r="E22" i="15"/>
  <c r="F22" i="15"/>
  <c r="G22" i="15"/>
  <c r="H22" i="15"/>
  <c r="I22" i="15"/>
  <c r="Q22" i="15"/>
  <c r="R22" i="15"/>
  <c r="S22" i="15"/>
  <c r="T22" i="15"/>
  <c r="C23" i="15"/>
  <c r="D23" i="15"/>
  <c r="E23" i="15"/>
  <c r="F23" i="15"/>
  <c r="G23" i="15"/>
  <c r="H23" i="15"/>
  <c r="I23" i="15"/>
  <c r="Q23" i="15"/>
  <c r="R23" i="15"/>
  <c r="S23" i="15"/>
  <c r="T23" i="15"/>
  <c r="C24" i="15"/>
  <c r="D24" i="15"/>
  <c r="E24" i="15"/>
  <c r="F24" i="15"/>
  <c r="G24" i="15"/>
  <c r="H24" i="15"/>
  <c r="I24" i="15"/>
  <c r="Q24" i="15"/>
  <c r="R24" i="15"/>
  <c r="S24" i="15"/>
  <c r="T24" i="15"/>
  <c r="C25" i="15"/>
  <c r="D25" i="15"/>
  <c r="E25" i="15"/>
  <c r="F25" i="15"/>
  <c r="G25" i="15"/>
  <c r="H25" i="15"/>
  <c r="I25" i="15"/>
  <c r="Q25" i="15"/>
  <c r="R25" i="15"/>
  <c r="S25" i="15"/>
  <c r="T25" i="15"/>
  <c r="C26" i="15"/>
  <c r="D26" i="15"/>
  <c r="E26" i="15"/>
  <c r="F26" i="15"/>
  <c r="G26" i="15"/>
  <c r="H26" i="15"/>
  <c r="I26" i="15"/>
  <c r="Q26" i="15"/>
  <c r="R26" i="15"/>
  <c r="S26" i="15"/>
  <c r="T26" i="15"/>
  <c r="C27" i="15"/>
  <c r="D27" i="15"/>
  <c r="E27" i="15"/>
  <c r="F27" i="15"/>
  <c r="G27" i="15"/>
  <c r="H27" i="15"/>
  <c r="I27" i="15"/>
  <c r="Q27" i="15"/>
  <c r="R27" i="15"/>
  <c r="S27" i="15"/>
  <c r="T27" i="15"/>
  <c r="C28" i="15"/>
  <c r="D28" i="15"/>
  <c r="E28" i="15"/>
  <c r="F28" i="15"/>
  <c r="G28" i="15"/>
  <c r="H28" i="15"/>
  <c r="I28" i="15"/>
  <c r="Q28" i="15"/>
  <c r="R28" i="15"/>
  <c r="S28" i="15"/>
  <c r="T28" i="15"/>
  <c r="C29" i="15"/>
  <c r="D29" i="15"/>
  <c r="E29" i="15"/>
  <c r="F29" i="15"/>
  <c r="G29" i="15"/>
  <c r="H29" i="15"/>
  <c r="I29" i="15"/>
  <c r="Q29" i="15"/>
  <c r="R29" i="15"/>
  <c r="S29" i="15"/>
  <c r="T29" i="15"/>
  <c r="C30" i="15"/>
  <c r="D30" i="15"/>
  <c r="E30" i="15"/>
  <c r="F30" i="15"/>
  <c r="G30" i="15"/>
  <c r="H30" i="15"/>
  <c r="I30" i="15"/>
  <c r="Q30" i="15"/>
  <c r="R30" i="15"/>
  <c r="S30" i="15"/>
  <c r="T30" i="15"/>
  <c r="C31" i="15"/>
  <c r="D31" i="15"/>
  <c r="E31" i="15"/>
  <c r="F31" i="15"/>
  <c r="G31" i="15"/>
  <c r="H31" i="15"/>
  <c r="I31" i="15"/>
  <c r="Q31" i="15"/>
  <c r="R31" i="15"/>
  <c r="S31" i="15"/>
  <c r="T31" i="15"/>
  <c r="C32" i="15"/>
  <c r="D32" i="15"/>
  <c r="E32" i="15"/>
  <c r="F32" i="15"/>
  <c r="G32" i="15"/>
  <c r="H32" i="15"/>
  <c r="I32" i="15"/>
  <c r="Q32" i="15"/>
  <c r="R32" i="15"/>
  <c r="S32" i="15"/>
  <c r="T32" i="15"/>
  <c r="C33" i="15"/>
  <c r="D33" i="15"/>
  <c r="E33" i="15"/>
  <c r="F33" i="15"/>
  <c r="G33" i="15"/>
  <c r="H33" i="15"/>
  <c r="I33" i="15"/>
  <c r="Q33" i="15"/>
  <c r="R33" i="15"/>
  <c r="S33" i="15"/>
  <c r="T33" i="15"/>
  <c r="C34" i="15"/>
  <c r="D34" i="15"/>
  <c r="E34" i="15"/>
  <c r="F34" i="15"/>
  <c r="G34" i="15"/>
  <c r="H34" i="15"/>
  <c r="I34" i="15"/>
  <c r="Q34" i="15"/>
  <c r="R34" i="15"/>
  <c r="S34" i="15"/>
  <c r="T34" i="15"/>
  <c r="C35" i="15"/>
  <c r="D35" i="15"/>
  <c r="E35" i="15"/>
  <c r="F35" i="15"/>
  <c r="G35" i="15"/>
  <c r="H35" i="15"/>
  <c r="I35" i="15"/>
  <c r="Q35" i="15"/>
  <c r="R35" i="15"/>
  <c r="S35" i="15"/>
  <c r="T35" i="15"/>
  <c r="C36" i="15"/>
  <c r="D36" i="15"/>
  <c r="E36" i="15"/>
  <c r="F36" i="15"/>
  <c r="G36" i="15"/>
  <c r="H36" i="15"/>
  <c r="I36" i="15"/>
  <c r="Q36" i="15"/>
  <c r="R36" i="15"/>
  <c r="S36" i="15"/>
  <c r="T36" i="15"/>
  <c r="C37" i="15"/>
  <c r="D37" i="15"/>
  <c r="E37" i="15"/>
  <c r="F37" i="15"/>
  <c r="G37" i="15"/>
  <c r="H37" i="15"/>
  <c r="I37" i="15"/>
  <c r="Q37" i="15"/>
  <c r="R37" i="15"/>
  <c r="S37" i="15"/>
  <c r="T37" i="15"/>
  <c r="C38" i="15"/>
  <c r="D38" i="15"/>
  <c r="E38" i="15"/>
  <c r="F38" i="15"/>
  <c r="G38" i="15"/>
  <c r="H38" i="15"/>
  <c r="I38" i="15"/>
  <c r="Q38" i="15"/>
  <c r="R38" i="15"/>
  <c r="S38" i="15"/>
  <c r="T38" i="15"/>
  <c r="C39" i="15"/>
  <c r="D39" i="15"/>
  <c r="E39" i="15"/>
  <c r="F39" i="15"/>
  <c r="G39" i="15"/>
  <c r="H39" i="15"/>
  <c r="I39" i="15"/>
  <c r="Q39" i="15"/>
  <c r="R39" i="15"/>
  <c r="S39" i="15"/>
  <c r="T39" i="15"/>
  <c r="C40" i="15"/>
  <c r="D40" i="15"/>
  <c r="E40" i="15"/>
  <c r="F40" i="15"/>
  <c r="G40" i="15"/>
  <c r="H40" i="15"/>
  <c r="I40" i="15"/>
  <c r="Q40" i="15"/>
  <c r="R40" i="15"/>
  <c r="S40" i="15"/>
  <c r="T40" i="15"/>
  <c r="C41" i="15"/>
  <c r="D41" i="15"/>
  <c r="E41" i="15"/>
  <c r="F41" i="15"/>
  <c r="G41" i="15"/>
  <c r="H41" i="15"/>
  <c r="I41" i="15"/>
  <c r="Q41" i="15"/>
  <c r="R41" i="15"/>
  <c r="S41" i="15"/>
  <c r="T41" i="15"/>
  <c r="C42" i="15"/>
  <c r="D42" i="15"/>
  <c r="E42" i="15"/>
  <c r="F42" i="15"/>
  <c r="G42" i="15"/>
  <c r="H42" i="15"/>
  <c r="I42" i="15"/>
  <c r="Q42" i="15"/>
  <c r="R42" i="15"/>
  <c r="S42" i="15"/>
  <c r="T42" i="15"/>
  <c r="C43" i="15"/>
  <c r="D43" i="15"/>
  <c r="E43" i="15"/>
  <c r="F43" i="15"/>
  <c r="G43" i="15"/>
  <c r="H43" i="15"/>
  <c r="I43" i="15"/>
  <c r="Q43" i="15"/>
  <c r="R43" i="15"/>
  <c r="S43" i="15"/>
  <c r="T43" i="15"/>
  <c r="C44" i="15"/>
  <c r="D44" i="15"/>
  <c r="E44" i="15"/>
  <c r="F44" i="15"/>
  <c r="G44" i="15"/>
  <c r="H44" i="15"/>
  <c r="I44" i="15"/>
  <c r="Q44" i="15"/>
  <c r="R44" i="15"/>
  <c r="S44" i="15"/>
  <c r="T44" i="15"/>
  <c r="C45" i="15"/>
  <c r="D45" i="15"/>
  <c r="E45" i="15"/>
  <c r="F45" i="15"/>
  <c r="G45" i="15"/>
  <c r="H45" i="15"/>
  <c r="I45" i="15"/>
  <c r="Q45" i="15"/>
  <c r="R45" i="15"/>
  <c r="S45" i="15"/>
  <c r="T45" i="15"/>
  <c r="C46" i="15"/>
  <c r="D46" i="15"/>
  <c r="E46" i="15"/>
  <c r="F46" i="15"/>
  <c r="G46" i="15"/>
  <c r="H46" i="15"/>
  <c r="I46" i="15"/>
  <c r="Q46" i="15"/>
  <c r="R46" i="15"/>
  <c r="S46" i="15"/>
  <c r="T46" i="15"/>
  <c r="C47" i="15"/>
  <c r="D47" i="15"/>
  <c r="E47" i="15"/>
  <c r="F47" i="15"/>
  <c r="G47" i="15"/>
  <c r="H47" i="15"/>
  <c r="I47" i="15"/>
  <c r="Q47" i="15"/>
  <c r="R47" i="15"/>
  <c r="S47" i="15"/>
  <c r="T47" i="15"/>
  <c r="C48" i="15"/>
  <c r="D48" i="15"/>
  <c r="E48" i="15"/>
  <c r="F48" i="15"/>
  <c r="G48" i="15"/>
  <c r="H48" i="15"/>
  <c r="I48" i="15"/>
  <c r="Q48" i="15"/>
  <c r="R48" i="15"/>
  <c r="S48" i="15"/>
  <c r="T48" i="15"/>
  <c r="C49" i="15"/>
  <c r="D49" i="15"/>
  <c r="E49" i="15"/>
  <c r="F49" i="15"/>
  <c r="G49" i="15"/>
  <c r="H49" i="15"/>
  <c r="I49" i="15"/>
  <c r="Q49" i="15"/>
  <c r="R49" i="15"/>
  <c r="S49" i="15"/>
  <c r="T49" i="15"/>
  <c r="C50" i="15"/>
  <c r="D50" i="15"/>
  <c r="E50" i="15"/>
  <c r="F50" i="15"/>
  <c r="G50" i="15"/>
  <c r="H50" i="15"/>
  <c r="I50" i="15"/>
  <c r="Q50" i="15"/>
  <c r="R50" i="15"/>
  <c r="S50" i="15"/>
  <c r="T50" i="15"/>
  <c r="C51" i="15"/>
  <c r="D51" i="15"/>
  <c r="E51" i="15"/>
  <c r="F51" i="15"/>
  <c r="G51" i="15"/>
  <c r="H51" i="15"/>
  <c r="I51" i="15"/>
  <c r="Q51" i="15"/>
  <c r="R51" i="15"/>
  <c r="S51" i="15"/>
  <c r="T51" i="15"/>
  <c r="C52" i="15"/>
  <c r="D52" i="15"/>
  <c r="E52" i="15"/>
  <c r="F52" i="15"/>
  <c r="G52" i="15"/>
  <c r="H52" i="15"/>
  <c r="I52" i="15"/>
  <c r="Q52" i="15"/>
  <c r="R52" i="15"/>
  <c r="S52" i="15"/>
  <c r="T52" i="15"/>
  <c r="C53" i="15"/>
  <c r="D53" i="15"/>
  <c r="E53" i="15"/>
  <c r="F53" i="15"/>
  <c r="G53" i="15"/>
  <c r="H53" i="15"/>
  <c r="I53" i="15"/>
  <c r="Q53" i="15"/>
  <c r="R53" i="15"/>
  <c r="S53" i="15"/>
  <c r="T53" i="15"/>
  <c r="C54" i="15"/>
  <c r="D54" i="15"/>
  <c r="E54" i="15"/>
  <c r="F54" i="15"/>
  <c r="G54" i="15"/>
  <c r="H54" i="15"/>
  <c r="I54" i="15"/>
  <c r="Q54" i="15"/>
  <c r="R54" i="15"/>
  <c r="S54" i="15"/>
  <c r="T54" i="15"/>
  <c r="C55" i="15"/>
  <c r="D55" i="15"/>
  <c r="E55" i="15"/>
  <c r="F55" i="15"/>
  <c r="G55" i="15"/>
  <c r="H55" i="15"/>
  <c r="I55" i="15"/>
  <c r="Q55" i="15"/>
  <c r="R55" i="15"/>
  <c r="S55" i="15"/>
  <c r="T55" i="15"/>
  <c r="C56" i="15"/>
  <c r="D56" i="15"/>
  <c r="E56" i="15"/>
  <c r="F56" i="15"/>
  <c r="G56" i="15"/>
  <c r="H56" i="15"/>
  <c r="I56" i="15"/>
  <c r="Q56" i="15"/>
  <c r="R56" i="15"/>
  <c r="S56" i="15"/>
  <c r="T56" i="15"/>
  <c r="C57" i="15"/>
  <c r="D57" i="15"/>
  <c r="E57" i="15"/>
  <c r="F57" i="15"/>
  <c r="G57" i="15"/>
  <c r="H57" i="15"/>
  <c r="I57" i="15"/>
  <c r="Q57" i="15"/>
  <c r="R57" i="15"/>
  <c r="S57" i="15"/>
  <c r="T57" i="15"/>
  <c r="C58" i="15"/>
  <c r="D58" i="15"/>
  <c r="E58" i="15"/>
  <c r="F58" i="15"/>
  <c r="G58" i="15"/>
  <c r="H58" i="15"/>
  <c r="I58" i="15"/>
  <c r="Q58" i="15"/>
  <c r="R58" i="15"/>
  <c r="S58" i="15"/>
  <c r="T58" i="15"/>
  <c r="C59" i="15"/>
  <c r="D59" i="15"/>
  <c r="E59" i="15"/>
  <c r="F59" i="15"/>
  <c r="G59" i="15"/>
  <c r="H59" i="15"/>
  <c r="I59" i="15"/>
  <c r="Q59" i="15"/>
  <c r="R59" i="15"/>
  <c r="S59" i="15"/>
  <c r="T59" i="15"/>
  <c r="C60" i="15"/>
  <c r="D60" i="15"/>
  <c r="E60" i="15"/>
  <c r="F60" i="15"/>
  <c r="G60" i="15"/>
  <c r="H60" i="15"/>
  <c r="I60" i="15"/>
  <c r="Q60" i="15"/>
  <c r="R60" i="15"/>
  <c r="S60" i="15"/>
  <c r="T60" i="15"/>
  <c r="C61" i="15"/>
  <c r="D61" i="15"/>
  <c r="E61" i="15"/>
  <c r="F61" i="15"/>
  <c r="G61" i="15"/>
  <c r="H61" i="15"/>
  <c r="I61" i="15"/>
  <c r="Q61" i="15"/>
  <c r="R61" i="15"/>
  <c r="S61" i="15"/>
  <c r="T61" i="15"/>
  <c r="C62" i="15"/>
  <c r="D62" i="15"/>
  <c r="E62" i="15"/>
  <c r="F62" i="15"/>
  <c r="G62" i="15"/>
  <c r="H62" i="15"/>
  <c r="I62" i="15"/>
  <c r="Q62" i="15"/>
  <c r="R62" i="15"/>
  <c r="S62" i="15"/>
  <c r="T62" i="15"/>
  <c r="C63" i="15"/>
  <c r="D63" i="15"/>
  <c r="E63" i="15"/>
  <c r="F63" i="15"/>
  <c r="G63" i="15"/>
  <c r="H63" i="15"/>
  <c r="I63" i="15"/>
  <c r="Q63" i="15"/>
  <c r="R63" i="15"/>
  <c r="S63" i="15"/>
  <c r="T63" i="15"/>
  <c r="C64" i="15"/>
  <c r="D64" i="15"/>
  <c r="E64" i="15"/>
  <c r="F64" i="15"/>
  <c r="H64" i="15"/>
  <c r="I64" i="15"/>
  <c r="Q64" i="15"/>
  <c r="R64" i="15"/>
  <c r="S64" i="15"/>
  <c r="T64" i="15"/>
  <c r="C65" i="15"/>
  <c r="D65" i="15"/>
  <c r="E65" i="15"/>
  <c r="F65" i="15"/>
  <c r="G65" i="15"/>
  <c r="H65" i="15"/>
  <c r="I65" i="15"/>
  <c r="Q65" i="15"/>
  <c r="R65" i="15"/>
  <c r="S65" i="15"/>
  <c r="T65" i="15"/>
  <c r="C66" i="15"/>
  <c r="D66" i="15"/>
  <c r="E66" i="15"/>
  <c r="F66" i="15"/>
  <c r="G66" i="15"/>
  <c r="H66" i="15"/>
  <c r="I66" i="15"/>
  <c r="Q66" i="15"/>
  <c r="R66" i="15"/>
  <c r="S66" i="15"/>
  <c r="T66" i="15"/>
  <c r="C67" i="15"/>
  <c r="D67" i="15"/>
  <c r="E67" i="15"/>
  <c r="F67" i="15"/>
  <c r="G67" i="15"/>
  <c r="H67" i="15"/>
  <c r="I67" i="15"/>
  <c r="Q67" i="15"/>
  <c r="R67" i="15"/>
  <c r="S67" i="15"/>
  <c r="T67" i="15"/>
  <c r="C68" i="15"/>
  <c r="D68" i="15"/>
  <c r="E68" i="15"/>
  <c r="F68" i="15"/>
  <c r="G68" i="15"/>
  <c r="H68" i="15"/>
  <c r="I68" i="15"/>
  <c r="Q68" i="15"/>
  <c r="R68" i="15"/>
  <c r="S68" i="15"/>
  <c r="T68" i="15"/>
  <c r="C69" i="15"/>
  <c r="D69" i="15"/>
  <c r="E69" i="15"/>
  <c r="F69" i="15"/>
  <c r="G69" i="15"/>
  <c r="H69" i="15"/>
  <c r="I69" i="15"/>
  <c r="Q69" i="15"/>
  <c r="R69" i="15"/>
  <c r="S69" i="15"/>
  <c r="T69" i="15"/>
  <c r="C70" i="15"/>
  <c r="D70" i="15"/>
  <c r="E70" i="15"/>
  <c r="F70" i="15"/>
  <c r="G70" i="15"/>
  <c r="H70" i="15"/>
  <c r="I70" i="15"/>
  <c r="Q70" i="15"/>
  <c r="R70" i="15"/>
  <c r="S70" i="15"/>
  <c r="T70" i="15"/>
  <c r="C71" i="15"/>
  <c r="D71" i="15"/>
  <c r="E71" i="15"/>
  <c r="F71" i="15"/>
  <c r="G71" i="15"/>
  <c r="H71" i="15"/>
  <c r="I71" i="15"/>
  <c r="Q71" i="15"/>
  <c r="R71" i="15"/>
  <c r="S71" i="15"/>
  <c r="T71" i="15"/>
  <c r="C72" i="15"/>
  <c r="D72" i="15"/>
  <c r="E72" i="15"/>
  <c r="F72" i="15"/>
  <c r="G72" i="15"/>
  <c r="H72" i="15"/>
  <c r="I72" i="15"/>
  <c r="Q72" i="15"/>
  <c r="R72" i="15"/>
  <c r="S72" i="15"/>
  <c r="T72" i="15"/>
  <c r="C73" i="15"/>
  <c r="D73" i="15"/>
  <c r="E73" i="15"/>
  <c r="F73" i="15"/>
  <c r="G73" i="15"/>
  <c r="H73" i="15"/>
  <c r="I73" i="15"/>
  <c r="Q73" i="15"/>
  <c r="R73" i="15"/>
  <c r="S73" i="15"/>
  <c r="T73" i="15"/>
  <c r="C74" i="15"/>
  <c r="D74" i="15"/>
  <c r="E74" i="15"/>
  <c r="F74" i="15"/>
  <c r="G74" i="15"/>
  <c r="H74" i="15"/>
  <c r="I74" i="15"/>
  <c r="Q74" i="15"/>
  <c r="R74" i="15"/>
  <c r="S74" i="15"/>
  <c r="T74" i="15"/>
  <c r="C75" i="15"/>
  <c r="D75" i="15"/>
  <c r="E75" i="15"/>
  <c r="F75" i="15"/>
  <c r="G75" i="15"/>
  <c r="H75" i="15"/>
  <c r="I75" i="15"/>
  <c r="Q75" i="15"/>
  <c r="R75" i="15"/>
  <c r="S75" i="15"/>
  <c r="T75" i="15"/>
  <c r="C76" i="15"/>
  <c r="D76" i="15"/>
  <c r="E76" i="15"/>
  <c r="F76" i="15"/>
  <c r="G76" i="15"/>
  <c r="H76" i="15"/>
  <c r="I76" i="15"/>
  <c r="Q76" i="15"/>
  <c r="R76" i="15"/>
  <c r="S76" i="15"/>
  <c r="T76" i="15"/>
  <c r="R2" i="15"/>
  <c r="S2" i="15"/>
  <c r="T2" i="15"/>
  <c r="Q2" i="15"/>
  <c r="C2" i="15"/>
  <c r="E2" i="15"/>
  <c r="H2" i="15"/>
  <c r="I2" i="15"/>
  <c r="G2" i="15"/>
  <c r="F2" i="15"/>
  <c r="K3" i="3" l="1"/>
  <c r="Q3" i="3" s="1"/>
  <c r="R3" i="3" s="1"/>
  <c r="K4" i="3"/>
  <c r="Q4" i="3" s="1"/>
  <c r="R4" i="3" s="1"/>
  <c r="K5" i="3"/>
  <c r="Q5" i="3" s="1"/>
  <c r="R5" i="3" s="1"/>
  <c r="K6" i="3"/>
  <c r="Q6" i="3" s="1"/>
  <c r="R6" i="3" s="1"/>
  <c r="K7" i="3"/>
  <c r="Q7" i="3" s="1"/>
  <c r="R7" i="3" s="1"/>
  <c r="K8" i="3"/>
  <c r="Q8" i="3" s="1"/>
  <c r="R8" i="3" s="1"/>
  <c r="K9" i="3"/>
  <c r="Q9" i="3" s="1"/>
  <c r="R9" i="3" s="1"/>
  <c r="K10" i="3"/>
  <c r="Q10" i="3" s="1"/>
  <c r="R10" i="3" s="1"/>
  <c r="K11" i="3"/>
  <c r="Q11" i="3" s="1"/>
  <c r="R11" i="3" s="1"/>
  <c r="K12" i="3"/>
  <c r="Q12" i="3" s="1"/>
  <c r="R12" i="3" s="1"/>
  <c r="K13" i="3"/>
  <c r="Q13" i="3" s="1"/>
  <c r="R13" i="3" s="1"/>
  <c r="K14" i="3"/>
  <c r="Q14" i="3" s="1"/>
  <c r="R14" i="3" s="1"/>
  <c r="K15" i="3"/>
  <c r="Q15" i="3" s="1"/>
  <c r="R15" i="3" s="1"/>
  <c r="K16" i="3"/>
  <c r="Q16" i="3" s="1"/>
  <c r="R16" i="3" s="1"/>
  <c r="K17" i="3"/>
  <c r="Q17" i="3" s="1"/>
  <c r="R17" i="3" s="1"/>
  <c r="K18" i="3"/>
  <c r="Q18" i="3" s="1"/>
  <c r="R18" i="3" s="1"/>
  <c r="K19" i="3"/>
  <c r="Q19" i="3" s="1"/>
  <c r="R19" i="3" s="1"/>
  <c r="K20" i="3"/>
  <c r="Q20" i="3" s="1"/>
  <c r="R20" i="3" s="1"/>
  <c r="K21" i="3"/>
  <c r="Q21" i="3" s="1"/>
  <c r="R21" i="3" s="1"/>
  <c r="K22" i="3"/>
  <c r="Q22" i="3" s="1"/>
  <c r="R22" i="3" s="1"/>
  <c r="K23" i="3"/>
  <c r="Q23" i="3" s="1"/>
  <c r="R23" i="3" s="1"/>
  <c r="K24" i="3"/>
  <c r="Q24" i="3" s="1"/>
  <c r="R24" i="3" s="1"/>
  <c r="K25" i="3"/>
  <c r="Q25" i="3" s="1"/>
  <c r="R25" i="3" s="1"/>
  <c r="K26" i="3"/>
  <c r="Q26" i="3" s="1"/>
  <c r="R26" i="3" s="1"/>
  <c r="K27" i="3"/>
  <c r="Q27" i="3" s="1"/>
  <c r="R27" i="3" s="1"/>
  <c r="K28" i="3"/>
  <c r="Q28" i="3" s="1"/>
  <c r="R28" i="3" s="1"/>
  <c r="K29" i="3"/>
  <c r="Q29" i="3" s="1"/>
  <c r="R29" i="3" s="1"/>
  <c r="K30" i="3"/>
  <c r="Q30" i="3" s="1"/>
  <c r="R30" i="3" s="1"/>
  <c r="K31" i="3"/>
  <c r="Q31" i="3" s="1"/>
  <c r="R31" i="3" s="1"/>
  <c r="K32" i="3"/>
  <c r="Q32" i="3" s="1"/>
  <c r="R32" i="3" s="1"/>
  <c r="K33" i="3"/>
  <c r="Q33" i="3" s="1"/>
  <c r="R33" i="3" s="1"/>
  <c r="K34" i="3"/>
  <c r="Q34" i="3" s="1"/>
  <c r="R34" i="3" s="1"/>
  <c r="K35" i="3"/>
  <c r="Q35" i="3" s="1"/>
  <c r="R35" i="3" s="1"/>
  <c r="K36" i="3"/>
  <c r="Q36" i="3" s="1"/>
  <c r="R36" i="3" s="1"/>
  <c r="K37" i="3"/>
  <c r="Q37" i="3" s="1"/>
  <c r="R37" i="3" s="1"/>
  <c r="K38" i="3"/>
  <c r="Q38" i="3" s="1"/>
  <c r="R38" i="3" s="1"/>
  <c r="K39" i="3"/>
  <c r="Q39" i="3" s="1"/>
  <c r="R39" i="3" s="1"/>
  <c r="K40" i="3"/>
  <c r="Q40" i="3" s="1"/>
  <c r="R40" i="3" s="1"/>
  <c r="K41" i="3"/>
  <c r="Q41" i="3" s="1"/>
  <c r="R41" i="3" s="1"/>
  <c r="K42" i="3"/>
  <c r="Q42" i="3" s="1"/>
  <c r="R42" i="3" s="1"/>
  <c r="K43" i="3"/>
  <c r="Q43" i="3" s="1"/>
  <c r="R43" i="3" s="1"/>
  <c r="K44" i="3"/>
  <c r="Q44" i="3" s="1"/>
  <c r="R44" i="3" s="1"/>
  <c r="K45" i="3"/>
  <c r="Q45" i="3" s="1"/>
  <c r="R45" i="3" s="1"/>
  <c r="K46" i="3"/>
  <c r="Q46" i="3" s="1"/>
  <c r="R46" i="3" s="1"/>
  <c r="K47" i="3"/>
  <c r="Q47" i="3" s="1"/>
  <c r="R47" i="3" s="1"/>
  <c r="K48" i="3"/>
  <c r="Q48" i="3" s="1"/>
  <c r="R48" i="3" s="1"/>
  <c r="K49" i="3"/>
  <c r="Q49" i="3" s="1"/>
  <c r="R49" i="3" s="1"/>
  <c r="K50" i="3"/>
  <c r="Q50" i="3" s="1"/>
  <c r="R50" i="3" s="1"/>
  <c r="K51" i="3"/>
  <c r="Q51" i="3" s="1"/>
  <c r="R51" i="3" s="1"/>
  <c r="K52" i="3"/>
  <c r="Q52" i="3" s="1"/>
  <c r="R52" i="3" s="1"/>
  <c r="K53" i="3"/>
  <c r="Q53" i="3" s="1"/>
  <c r="R53" i="3" s="1"/>
  <c r="K54" i="3"/>
  <c r="Q54" i="3" s="1"/>
  <c r="R54" i="3" s="1"/>
  <c r="K55" i="3"/>
  <c r="Q55" i="3" s="1"/>
  <c r="R55" i="3" s="1"/>
  <c r="K56" i="3"/>
  <c r="Q56" i="3" s="1"/>
  <c r="R56" i="3" s="1"/>
  <c r="K57" i="3"/>
  <c r="Q57" i="3" s="1"/>
  <c r="R57" i="3" s="1"/>
  <c r="K58" i="3"/>
  <c r="Q58" i="3" s="1"/>
  <c r="R58" i="3" s="1"/>
  <c r="K59" i="3"/>
  <c r="Q59" i="3" s="1"/>
  <c r="R59" i="3" s="1"/>
  <c r="K60" i="3"/>
  <c r="Q60" i="3" s="1"/>
  <c r="R60" i="3" s="1"/>
  <c r="K61" i="3"/>
  <c r="Q61" i="3" s="1"/>
  <c r="R61" i="3" s="1"/>
  <c r="K62" i="3"/>
  <c r="Q62" i="3" s="1"/>
  <c r="R62" i="3" s="1"/>
  <c r="K63" i="3"/>
  <c r="Q63" i="3" s="1"/>
  <c r="R63" i="3" s="1"/>
  <c r="K64" i="3"/>
  <c r="Q64" i="3" s="1"/>
  <c r="R64" i="3" s="1"/>
  <c r="K65" i="3"/>
  <c r="Q65" i="3" s="1"/>
  <c r="R65" i="3" s="1"/>
  <c r="K66" i="3"/>
  <c r="Q66" i="3" s="1"/>
  <c r="R66" i="3" s="1"/>
  <c r="K67" i="3"/>
  <c r="Q67" i="3" s="1"/>
  <c r="R67" i="3" s="1"/>
  <c r="K68" i="3"/>
  <c r="Q68" i="3" s="1"/>
  <c r="R68" i="3" s="1"/>
  <c r="K69" i="3"/>
  <c r="Q69" i="3" s="1"/>
  <c r="R69" i="3" s="1"/>
  <c r="K70" i="3"/>
  <c r="K71" i="3"/>
  <c r="Q71" i="3" s="1"/>
  <c r="R71" i="3" s="1"/>
  <c r="K72" i="3"/>
  <c r="Q72" i="3" s="1"/>
  <c r="R72" i="3" s="1"/>
  <c r="K73" i="3"/>
  <c r="Q73" i="3" s="1"/>
  <c r="R73" i="3" s="1"/>
  <c r="K74" i="3"/>
  <c r="Q74" i="3" s="1"/>
  <c r="R74" i="3" s="1"/>
  <c r="K75" i="3"/>
  <c r="Q75" i="3" s="1"/>
  <c r="R75" i="3" s="1"/>
  <c r="K76" i="3"/>
  <c r="Q76" i="3" s="1"/>
  <c r="R76" i="3" s="1"/>
  <c r="K3" i="4"/>
  <c r="Q3" i="4" s="1"/>
  <c r="R3" i="4" s="1"/>
  <c r="K4" i="4"/>
  <c r="Q4" i="4" s="1"/>
  <c r="R4" i="4" s="1"/>
  <c r="K5" i="4"/>
  <c r="Q5" i="4" s="1"/>
  <c r="R5" i="4" s="1"/>
  <c r="K6" i="4"/>
  <c r="Q6" i="4" s="1"/>
  <c r="R6" i="4" s="1"/>
  <c r="K7" i="4"/>
  <c r="Q7" i="4" s="1"/>
  <c r="R7" i="4" s="1"/>
  <c r="K8" i="4"/>
  <c r="Q8" i="4" s="1"/>
  <c r="R8" i="4" s="1"/>
  <c r="K9" i="4"/>
  <c r="Q9" i="4" s="1"/>
  <c r="R9" i="4" s="1"/>
  <c r="K10" i="4"/>
  <c r="Q10" i="4" s="1"/>
  <c r="R10" i="4" s="1"/>
  <c r="K11" i="4"/>
  <c r="Q11" i="4" s="1"/>
  <c r="R11" i="4" s="1"/>
  <c r="K12" i="4"/>
  <c r="Q12" i="4" s="1"/>
  <c r="R12" i="4" s="1"/>
  <c r="K13" i="4"/>
  <c r="Q13" i="4" s="1"/>
  <c r="R13" i="4" s="1"/>
  <c r="K14" i="4"/>
  <c r="Q14" i="4" s="1"/>
  <c r="R14" i="4" s="1"/>
  <c r="K15" i="4"/>
  <c r="Q15" i="4" s="1"/>
  <c r="R15" i="4" s="1"/>
  <c r="K16" i="4"/>
  <c r="Q16" i="4" s="1"/>
  <c r="R16" i="4" s="1"/>
  <c r="K17" i="4"/>
  <c r="Q17" i="4" s="1"/>
  <c r="R17" i="4" s="1"/>
  <c r="K18" i="4"/>
  <c r="Q18" i="4" s="1"/>
  <c r="R18" i="4" s="1"/>
  <c r="K19" i="4"/>
  <c r="Q19" i="4" s="1"/>
  <c r="R19" i="4" s="1"/>
  <c r="K20" i="4"/>
  <c r="Q20" i="4" s="1"/>
  <c r="R20" i="4" s="1"/>
  <c r="K21" i="4"/>
  <c r="Q21" i="4" s="1"/>
  <c r="R21" i="4" s="1"/>
  <c r="K22" i="4"/>
  <c r="Q22" i="4" s="1"/>
  <c r="R22" i="4" s="1"/>
  <c r="K23" i="4"/>
  <c r="Q23" i="4" s="1"/>
  <c r="R23" i="4" s="1"/>
  <c r="K24" i="4"/>
  <c r="Q24" i="4" s="1"/>
  <c r="R24" i="4" s="1"/>
  <c r="K25" i="4"/>
  <c r="Q25" i="4" s="1"/>
  <c r="R25" i="4" s="1"/>
  <c r="K26" i="4"/>
  <c r="Q26" i="4" s="1"/>
  <c r="R26" i="4" s="1"/>
  <c r="K27" i="4"/>
  <c r="Q27" i="4" s="1"/>
  <c r="R27" i="4" s="1"/>
  <c r="K28" i="4"/>
  <c r="Q28" i="4" s="1"/>
  <c r="R28" i="4" s="1"/>
  <c r="K29" i="4"/>
  <c r="Q29" i="4" s="1"/>
  <c r="R29" i="4" s="1"/>
  <c r="K30" i="4"/>
  <c r="Q30" i="4" s="1"/>
  <c r="R30" i="4" s="1"/>
  <c r="K31" i="4"/>
  <c r="Q31" i="4" s="1"/>
  <c r="R31" i="4" s="1"/>
  <c r="K32" i="4"/>
  <c r="Q32" i="4" s="1"/>
  <c r="R32" i="4" s="1"/>
  <c r="K33" i="4"/>
  <c r="Q33" i="4" s="1"/>
  <c r="R33" i="4" s="1"/>
  <c r="K34" i="4"/>
  <c r="Q34" i="4" s="1"/>
  <c r="R34" i="4" s="1"/>
  <c r="K35" i="4"/>
  <c r="Q35" i="4" s="1"/>
  <c r="R35" i="4" s="1"/>
  <c r="K36" i="4"/>
  <c r="Q36" i="4" s="1"/>
  <c r="R36" i="4" s="1"/>
  <c r="K37" i="4"/>
  <c r="Q37" i="4" s="1"/>
  <c r="R37" i="4" s="1"/>
  <c r="K38" i="4"/>
  <c r="Q38" i="4" s="1"/>
  <c r="R38" i="4" s="1"/>
  <c r="K39" i="4"/>
  <c r="Q39" i="4" s="1"/>
  <c r="R39" i="4" s="1"/>
  <c r="K40" i="4"/>
  <c r="Q40" i="4" s="1"/>
  <c r="R40" i="4" s="1"/>
  <c r="K41" i="4"/>
  <c r="Q41" i="4" s="1"/>
  <c r="R41" i="4" s="1"/>
  <c r="K42" i="4"/>
  <c r="Q42" i="4" s="1"/>
  <c r="R42" i="4" s="1"/>
  <c r="K43" i="4"/>
  <c r="Q43" i="4" s="1"/>
  <c r="R43" i="4" s="1"/>
  <c r="K44" i="4"/>
  <c r="Q44" i="4" s="1"/>
  <c r="R44" i="4" s="1"/>
  <c r="K45" i="4"/>
  <c r="Q45" i="4" s="1"/>
  <c r="R45" i="4" s="1"/>
  <c r="K46" i="4"/>
  <c r="Q46" i="4" s="1"/>
  <c r="R46" i="4" s="1"/>
  <c r="K47" i="4"/>
  <c r="Q47" i="4" s="1"/>
  <c r="R47" i="4" s="1"/>
  <c r="K48" i="4"/>
  <c r="Q48" i="4" s="1"/>
  <c r="R48" i="4" s="1"/>
  <c r="K49" i="4"/>
  <c r="Q49" i="4" s="1"/>
  <c r="R49" i="4" s="1"/>
  <c r="K50" i="4"/>
  <c r="Q50" i="4" s="1"/>
  <c r="R50" i="4" s="1"/>
  <c r="K51" i="4"/>
  <c r="Q51" i="4" s="1"/>
  <c r="R51" i="4" s="1"/>
  <c r="K52" i="4"/>
  <c r="Q52" i="4" s="1"/>
  <c r="R52" i="4" s="1"/>
  <c r="K53" i="4"/>
  <c r="Q53" i="4" s="1"/>
  <c r="R53" i="4" s="1"/>
  <c r="K54" i="4"/>
  <c r="Q54" i="4" s="1"/>
  <c r="R54" i="4" s="1"/>
  <c r="K55" i="4"/>
  <c r="Q55" i="4" s="1"/>
  <c r="R55" i="4" s="1"/>
  <c r="K56" i="4"/>
  <c r="Q56" i="4" s="1"/>
  <c r="R56" i="4" s="1"/>
  <c r="K57" i="4"/>
  <c r="Q57" i="4" s="1"/>
  <c r="R57" i="4" s="1"/>
  <c r="K58" i="4"/>
  <c r="Q58" i="4" s="1"/>
  <c r="R58" i="4" s="1"/>
  <c r="K59" i="4"/>
  <c r="Q59" i="4" s="1"/>
  <c r="R59" i="4" s="1"/>
  <c r="K60" i="4"/>
  <c r="Q60" i="4" s="1"/>
  <c r="R60" i="4" s="1"/>
  <c r="K61" i="4"/>
  <c r="Q61" i="4" s="1"/>
  <c r="R61" i="4" s="1"/>
  <c r="K62" i="4"/>
  <c r="Q62" i="4" s="1"/>
  <c r="R62" i="4" s="1"/>
  <c r="K63" i="4"/>
  <c r="Q63" i="4" s="1"/>
  <c r="R63" i="4" s="1"/>
  <c r="K64" i="4"/>
  <c r="Q64" i="4" s="1"/>
  <c r="R64" i="4" s="1"/>
  <c r="K65" i="4"/>
  <c r="Q65" i="4" s="1"/>
  <c r="R65" i="4" s="1"/>
  <c r="K66" i="4"/>
  <c r="Q66" i="4" s="1"/>
  <c r="R66" i="4" s="1"/>
  <c r="K67" i="4"/>
  <c r="Q67" i="4" s="1"/>
  <c r="R67" i="4" s="1"/>
  <c r="K68" i="4"/>
  <c r="Q68" i="4" s="1"/>
  <c r="R68" i="4" s="1"/>
  <c r="K69" i="4"/>
  <c r="Q69" i="4" s="1"/>
  <c r="R69" i="4" s="1"/>
  <c r="K70" i="4"/>
  <c r="Q70" i="4" s="1"/>
  <c r="R70" i="4" s="1"/>
  <c r="K71" i="4"/>
  <c r="Q71" i="4" s="1"/>
  <c r="R71" i="4" s="1"/>
  <c r="K72" i="4"/>
  <c r="Q72" i="4" s="1"/>
  <c r="R72" i="4" s="1"/>
  <c r="K73" i="4"/>
  <c r="Q73" i="4" s="1"/>
  <c r="R73" i="4" s="1"/>
  <c r="K74" i="4"/>
  <c r="Q74" i="4" s="1"/>
  <c r="R74" i="4" s="1"/>
  <c r="K75" i="4"/>
  <c r="Q75" i="4" s="1"/>
  <c r="R75" i="4" s="1"/>
  <c r="K76" i="4"/>
  <c r="Q76" i="4" s="1"/>
  <c r="R76" i="4" s="1"/>
  <c r="Q70" i="3" l="1"/>
  <c r="R70" i="3" s="1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3" i="3"/>
  <c r="D68" i="17" l="1"/>
  <c r="H68" i="17" s="1"/>
  <c r="I68" i="17" s="1"/>
  <c r="J68" i="17" s="1"/>
  <c r="K68" i="17" s="1"/>
  <c r="L68" i="17" s="1"/>
  <c r="M68" i="17" s="1"/>
  <c r="N68" i="17" s="1"/>
  <c r="O68" i="17" s="1"/>
  <c r="D60" i="17"/>
  <c r="H60" i="17" s="1"/>
  <c r="I60" i="17" s="1"/>
  <c r="J60" i="17" s="1"/>
  <c r="K60" i="17" s="1"/>
  <c r="L60" i="17" s="1"/>
  <c r="M60" i="17" s="1"/>
  <c r="N60" i="17" s="1"/>
  <c r="O60" i="17" s="1"/>
  <c r="D75" i="17"/>
  <c r="H75" i="17" s="1"/>
  <c r="I75" i="17" s="1"/>
  <c r="J75" i="17" s="1"/>
  <c r="K75" i="17" s="1"/>
  <c r="L75" i="17" s="1"/>
  <c r="M75" i="17" s="1"/>
  <c r="N75" i="17" s="1"/>
  <c r="O75" i="17" s="1"/>
  <c r="D43" i="17"/>
  <c r="H43" i="17" s="1"/>
  <c r="I43" i="17" s="1"/>
  <c r="J43" i="17" s="1"/>
  <c r="K43" i="17" s="1"/>
  <c r="L43" i="17" s="1"/>
  <c r="M43" i="17" s="1"/>
  <c r="N43" i="17" s="1"/>
  <c r="O43" i="17" s="1"/>
  <c r="D19" i="17"/>
  <c r="H19" i="17" s="1"/>
  <c r="I19" i="17" s="1"/>
  <c r="J19" i="17" s="1"/>
  <c r="K19" i="17" s="1"/>
  <c r="L19" i="17" s="1"/>
  <c r="M19" i="17" s="1"/>
  <c r="N19" i="17" s="1"/>
  <c r="O19" i="17" s="1"/>
  <c r="D51" i="17"/>
  <c r="H51" i="17" s="1"/>
  <c r="I51" i="17" s="1"/>
  <c r="J51" i="17" s="1"/>
  <c r="K51" i="17" s="1"/>
  <c r="L51" i="17" s="1"/>
  <c r="M51" i="17" s="1"/>
  <c r="N51" i="17" s="1"/>
  <c r="O51" i="17" s="1"/>
  <c r="D66" i="17"/>
  <c r="H66" i="17" s="1"/>
  <c r="I66" i="17" s="1"/>
  <c r="J66" i="17" s="1"/>
  <c r="K66" i="17" s="1"/>
  <c r="L66" i="17" s="1"/>
  <c r="M66" i="17" s="1"/>
  <c r="N66" i="17" s="1"/>
  <c r="O66" i="17" s="1"/>
  <c r="D42" i="17"/>
  <c r="H42" i="17" s="1"/>
  <c r="I42" i="17" s="1"/>
  <c r="J42" i="17" s="1"/>
  <c r="K42" i="17" s="1"/>
  <c r="L42" i="17" s="1"/>
  <c r="M42" i="17" s="1"/>
  <c r="N42" i="17" s="1"/>
  <c r="O42" i="17" s="1"/>
  <c r="D34" i="17"/>
  <c r="H34" i="17" s="1"/>
  <c r="I34" i="17" s="1"/>
  <c r="J34" i="17" s="1"/>
  <c r="K34" i="17" s="1"/>
  <c r="L34" i="17" s="1"/>
  <c r="M34" i="17" s="1"/>
  <c r="N34" i="17" s="1"/>
  <c r="O34" i="17" s="1"/>
  <c r="D26" i="17"/>
  <c r="H26" i="17" s="1"/>
  <c r="I26" i="17" s="1"/>
  <c r="J26" i="17" s="1"/>
  <c r="K26" i="17" s="1"/>
  <c r="L26" i="17" s="1"/>
  <c r="M26" i="17" s="1"/>
  <c r="N26" i="17" s="1"/>
  <c r="O26" i="17" s="1"/>
  <c r="D18" i="17"/>
  <c r="H18" i="17" s="1"/>
  <c r="I18" i="17" s="1"/>
  <c r="J18" i="17" s="1"/>
  <c r="K18" i="17" s="1"/>
  <c r="L18" i="17" s="1"/>
  <c r="M18" i="17" s="1"/>
  <c r="N18" i="17" s="1"/>
  <c r="O18" i="17" s="1"/>
  <c r="D73" i="17"/>
  <c r="H73" i="17" s="1"/>
  <c r="I73" i="17" s="1"/>
  <c r="J73" i="17" s="1"/>
  <c r="K73" i="17" s="1"/>
  <c r="L73" i="17" s="1"/>
  <c r="M73" i="17" s="1"/>
  <c r="N73" i="17" s="1"/>
  <c r="O73" i="17" s="1"/>
  <c r="D41" i="17"/>
  <c r="H41" i="17" s="1"/>
  <c r="I41" i="17" s="1"/>
  <c r="J41" i="17" s="1"/>
  <c r="K41" i="17" s="1"/>
  <c r="L41" i="17" s="1"/>
  <c r="M41" i="17" s="1"/>
  <c r="N41" i="17" s="1"/>
  <c r="O41" i="17" s="1"/>
  <c r="D33" i="17"/>
  <c r="H33" i="17" s="1"/>
  <c r="I33" i="17" s="1"/>
  <c r="J33" i="17" s="1"/>
  <c r="K33" i="17" s="1"/>
  <c r="L33" i="17" s="1"/>
  <c r="M33" i="17" s="1"/>
  <c r="N33" i="17" s="1"/>
  <c r="O33" i="17" s="1"/>
  <c r="D17" i="17"/>
  <c r="H17" i="17" s="1"/>
  <c r="I17" i="17" s="1"/>
  <c r="J17" i="17" s="1"/>
  <c r="K17" i="17" s="1"/>
  <c r="L17" i="17" s="1"/>
  <c r="M17" i="17" s="1"/>
  <c r="N17" i="17" s="1"/>
  <c r="O17" i="17" s="1"/>
  <c r="D40" i="17"/>
  <c r="H40" i="17" s="1"/>
  <c r="I40" i="17" s="1"/>
  <c r="J40" i="17" s="1"/>
  <c r="K40" i="17" s="1"/>
  <c r="L40" i="17" s="1"/>
  <c r="M40" i="17" s="1"/>
  <c r="N40" i="17" s="1"/>
  <c r="O40" i="17" s="1"/>
  <c r="D32" i="17"/>
  <c r="H32" i="17" s="1"/>
  <c r="I32" i="17" s="1"/>
  <c r="J32" i="17" s="1"/>
  <c r="K32" i="17" s="1"/>
  <c r="L32" i="17" s="1"/>
  <c r="M32" i="17" s="1"/>
  <c r="N32" i="17" s="1"/>
  <c r="O32" i="17" s="1"/>
  <c r="D24" i="17"/>
  <c r="H24" i="17" s="1"/>
  <c r="I24" i="17" s="1"/>
  <c r="J24" i="17" s="1"/>
  <c r="K24" i="17" s="1"/>
  <c r="L24" i="17" s="1"/>
  <c r="M24" i="17" s="1"/>
  <c r="N24" i="17" s="1"/>
  <c r="O24" i="17" s="1"/>
  <c r="D47" i="17"/>
  <c r="H47" i="17" s="1"/>
  <c r="I47" i="17" s="1"/>
  <c r="J47" i="17" s="1"/>
  <c r="K47" i="17" s="1"/>
  <c r="L47" i="17" s="1"/>
  <c r="M47" i="17" s="1"/>
  <c r="N47" i="17" s="1"/>
  <c r="O47" i="17" s="1"/>
  <c r="D39" i="17"/>
  <c r="H39" i="17" s="1"/>
  <c r="I39" i="17" s="1"/>
  <c r="J39" i="17" s="1"/>
  <c r="K39" i="17" s="1"/>
  <c r="L39" i="17" s="1"/>
  <c r="M39" i="17" s="1"/>
  <c r="N39" i="17" s="1"/>
  <c r="O39" i="17" s="1"/>
  <c r="D31" i="17"/>
  <c r="H31" i="17" s="1"/>
  <c r="I31" i="17" s="1"/>
  <c r="J31" i="17" s="1"/>
  <c r="K31" i="17" s="1"/>
  <c r="L31" i="17" s="1"/>
  <c r="M31" i="17" s="1"/>
  <c r="N31" i="17" s="1"/>
  <c r="O31" i="17" s="1"/>
  <c r="D70" i="17"/>
  <c r="H70" i="17" s="1"/>
  <c r="I70" i="17" s="1"/>
  <c r="J70" i="17" s="1"/>
  <c r="K70" i="17" s="1"/>
  <c r="L70" i="17" s="1"/>
  <c r="M70" i="17" s="1"/>
  <c r="N70" i="17" s="1"/>
  <c r="O70" i="17" s="1"/>
  <c r="D54" i="17"/>
  <c r="H54" i="17" s="1"/>
  <c r="I54" i="17" s="1"/>
  <c r="J54" i="17" s="1"/>
  <c r="K54" i="17" s="1"/>
  <c r="L54" i="17" s="1"/>
  <c r="M54" i="17" s="1"/>
  <c r="N54" i="17" s="1"/>
  <c r="O54" i="17" s="1"/>
  <c r="D46" i="17"/>
  <c r="H46" i="17" s="1"/>
  <c r="I46" i="17" s="1"/>
  <c r="J46" i="17" s="1"/>
  <c r="K46" i="17" s="1"/>
  <c r="L46" i="17" s="1"/>
  <c r="M46" i="17" s="1"/>
  <c r="N46" i="17" s="1"/>
  <c r="O46" i="17" s="1"/>
  <c r="D38" i="17"/>
  <c r="H38" i="17" s="1"/>
  <c r="I38" i="17" s="1"/>
  <c r="J38" i="17" s="1"/>
  <c r="K38" i="17" s="1"/>
  <c r="L38" i="17" s="1"/>
  <c r="M38" i="17" s="1"/>
  <c r="N38" i="17" s="1"/>
  <c r="O38" i="17" s="1"/>
  <c r="D22" i="17"/>
  <c r="H22" i="17" s="1"/>
  <c r="I22" i="17" s="1"/>
  <c r="J22" i="17" s="1"/>
  <c r="K22" i="17" s="1"/>
  <c r="L22" i="17" s="1"/>
  <c r="M22" i="17" s="1"/>
  <c r="N22" i="17" s="1"/>
  <c r="O22" i="17" s="1"/>
  <c r="D14" i="17"/>
  <c r="H14" i="17" s="1"/>
  <c r="I14" i="17" s="1"/>
  <c r="J14" i="17" s="1"/>
  <c r="K14" i="17" s="1"/>
  <c r="L14" i="17" s="1"/>
  <c r="M14" i="17" s="1"/>
  <c r="N14" i="17" s="1"/>
  <c r="O14" i="17" s="1"/>
  <c r="D61" i="17"/>
  <c r="H61" i="17" s="1"/>
  <c r="I61" i="17" s="1"/>
  <c r="J61" i="17" s="1"/>
  <c r="K61" i="17" s="1"/>
  <c r="L61" i="17" s="1"/>
  <c r="M61" i="17" s="1"/>
  <c r="N61" i="17" s="1"/>
  <c r="O61" i="17" s="1"/>
  <c r="D45" i="17"/>
  <c r="H45" i="17" s="1"/>
  <c r="I45" i="17" s="1"/>
  <c r="J45" i="17" s="1"/>
  <c r="K45" i="17" s="1"/>
  <c r="L45" i="17" s="1"/>
  <c r="M45" i="17" s="1"/>
  <c r="N45" i="17" s="1"/>
  <c r="O45" i="17" s="1"/>
  <c r="D37" i="17"/>
  <c r="H37" i="17" s="1"/>
  <c r="I37" i="17" s="1"/>
  <c r="J37" i="17" s="1"/>
  <c r="K37" i="17" s="1"/>
  <c r="L37" i="17" s="1"/>
  <c r="M37" i="17" s="1"/>
  <c r="N37" i="17" s="1"/>
  <c r="O37" i="17" s="1"/>
  <c r="D29" i="17"/>
  <c r="H29" i="17" s="1"/>
  <c r="I29" i="17" s="1"/>
  <c r="J29" i="17" s="1"/>
  <c r="K29" i="17" s="1"/>
  <c r="L29" i="17" s="1"/>
  <c r="M29" i="17" s="1"/>
  <c r="N29" i="17" s="1"/>
  <c r="O29" i="17" s="1"/>
  <c r="D13" i="17"/>
  <c r="H13" i="17" s="1"/>
  <c r="I13" i="17" s="1"/>
  <c r="J13" i="17" s="1"/>
  <c r="K13" i="17" s="1"/>
  <c r="L13" i="17" s="1"/>
  <c r="M13" i="17" s="1"/>
  <c r="N13" i="17" s="1"/>
  <c r="O13" i="17" s="1"/>
  <c r="D5" i="17"/>
  <c r="H5" i="17" s="1"/>
  <c r="I5" i="17" s="1"/>
  <c r="J5" i="17" s="1"/>
  <c r="K5" i="17" s="1"/>
  <c r="L5" i="17" s="1"/>
  <c r="M5" i="17" s="1"/>
  <c r="N5" i="17" s="1"/>
  <c r="O5" i="17" s="1"/>
  <c r="D36" i="17"/>
  <c r="H36" i="17" s="1"/>
  <c r="I36" i="17" s="1"/>
  <c r="J36" i="17" s="1"/>
  <c r="K36" i="17" s="1"/>
  <c r="L36" i="17" s="1"/>
  <c r="M36" i="17" s="1"/>
  <c r="N36" i="17" s="1"/>
  <c r="O36" i="17" s="1"/>
  <c r="D28" i="17"/>
  <c r="H28" i="17" s="1"/>
  <c r="I28" i="17" s="1"/>
  <c r="J28" i="17" s="1"/>
  <c r="K28" i="17" s="1"/>
  <c r="L28" i="17" s="1"/>
  <c r="M28" i="17" s="1"/>
  <c r="N28" i="17" s="1"/>
  <c r="O28" i="17" s="1"/>
  <c r="D20" i="17"/>
  <c r="H20" i="17" s="1"/>
  <c r="I20" i="17" s="1"/>
  <c r="J20" i="17" s="1"/>
  <c r="K20" i="17" s="1"/>
  <c r="L20" i="17" s="1"/>
  <c r="M20" i="17" s="1"/>
  <c r="N20" i="17" s="1"/>
  <c r="O20" i="17" s="1"/>
  <c r="K2" i="4" l="1"/>
  <c r="K2" i="3" l="1"/>
  <c r="L2" i="4" l="1"/>
  <c r="L2" i="3"/>
  <c r="Q2" i="3" l="1"/>
  <c r="R2" i="3" s="1"/>
  <c r="Q2" i="4"/>
  <c r="R2" i="4" s="1"/>
  <c r="D71" i="3" l="1"/>
  <c r="D55" i="3"/>
  <c r="D47" i="3"/>
  <c r="D39" i="3"/>
  <c r="D31" i="3"/>
  <c r="D23" i="3"/>
  <c r="D15" i="3"/>
  <c r="D7" i="3"/>
  <c r="D74" i="4"/>
  <c r="D66" i="4"/>
  <c r="D58" i="4"/>
  <c r="D50" i="4"/>
  <c r="D42" i="4"/>
  <c r="D34" i="4"/>
  <c r="D26" i="4"/>
  <c r="D18" i="4"/>
  <c r="D10" i="4"/>
  <c r="D46" i="3"/>
  <c r="D73" i="4"/>
  <c r="D33" i="4"/>
  <c r="D2" i="3"/>
  <c r="D69" i="3"/>
  <c r="D61" i="3"/>
  <c r="D53" i="3"/>
  <c r="D45" i="3"/>
  <c r="D37" i="3"/>
  <c r="D29" i="3"/>
  <c r="D21" i="3"/>
  <c r="D13" i="3"/>
  <c r="D5" i="3"/>
  <c r="D72" i="4"/>
  <c r="D64" i="4"/>
  <c r="D56" i="4"/>
  <c r="D48" i="4"/>
  <c r="D40" i="4"/>
  <c r="D32" i="4"/>
  <c r="D24" i="4"/>
  <c r="D16" i="4"/>
  <c r="D8" i="4"/>
  <c r="D70" i="3"/>
  <c r="D30" i="3"/>
  <c r="D49" i="4"/>
  <c r="D76" i="3"/>
  <c r="D36" i="3"/>
  <c r="D12" i="3"/>
  <c r="D4" i="3"/>
  <c r="D71" i="4"/>
  <c r="D63" i="4"/>
  <c r="D55" i="4"/>
  <c r="D47" i="4"/>
  <c r="D39" i="4"/>
  <c r="D31" i="4"/>
  <c r="D23" i="4"/>
  <c r="D15" i="4"/>
  <c r="D7" i="4"/>
  <c r="D38" i="3"/>
  <c r="D65" i="4"/>
  <c r="D17" i="4"/>
  <c r="D60" i="3"/>
  <c r="D75" i="3"/>
  <c r="D51" i="3"/>
  <c r="D43" i="3"/>
  <c r="D35" i="3"/>
  <c r="D27" i="3"/>
  <c r="D19" i="3"/>
  <c r="D11" i="3"/>
  <c r="D3" i="3"/>
  <c r="D70" i="4"/>
  <c r="D62" i="4"/>
  <c r="D54" i="4"/>
  <c r="D46" i="4"/>
  <c r="D38" i="4"/>
  <c r="D30" i="4"/>
  <c r="D22" i="4"/>
  <c r="D14" i="4"/>
  <c r="D6" i="4"/>
  <c r="D54" i="3"/>
  <c r="D6" i="3"/>
  <c r="D25" i="4"/>
  <c r="D44" i="3"/>
  <c r="D74" i="3"/>
  <c r="D50" i="3"/>
  <c r="D26" i="3"/>
  <c r="D18" i="3"/>
  <c r="D10" i="3"/>
  <c r="D2" i="4"/>
  <c r="D69" i="4"/>
  <c r="D61" i="4"/>
  <c r="D53" i="4"/>
  <c r="D45" i="4"/>
  <c r="D37" i="4"/>
  <c r="D29" i="4"/>
  <c r="D21" i="4"/>
  <c r="D13" i="4"/>
  <c r="D5" i="4"/>
  <c r="D62" i="3"/>
  <c r="D14" i="3"/>
  <c r="D9" i="4"/>
  <c r="D52" i="3"/>
  <c r="D28" i="3"/>
  <c r="D67" i="3"/>
  <c r="D66" i="3"/>
  <c r="D34" i="3"/>
  <c r="D73" i="3"/>
  <c r="D65" i="3"/>
  <c r="D57" i="3"/>
  <c r="D49" i="3"/>
  <c r="D41" i="3"/>
  <c r="D33" i="3"/>
  <c r="D25" i="3"/>
  <c r="D17" i="3"/>
  <c r="D9" i="3"/>
  <c r="D76" i="4"/>
  <c r="D68" i="4"/>
  <c r="D60" i="4"/>
  <c r="D52" i="4"/>
  <c r="D44" i="4"/>
  <c r="D36" i="4"/>
  <c r="D28" i="4"/>
  <c r="D20" i="4"/>
  <c r="D12" i="4"/>
  <c r="D4" i="4"/>
  <c r="D63" i="3"/>
  <c r="D22" i="3"/>
  <c r="D57" i="4"/>
  <c r="D41" i="4"/>
  <c r="D68" i="3"/>
  <c r="D20" i="3"/>
  <c r="D59" i="3"/>
  <c r="D58" i="3"/>
  <c r="D42" i="3"/>
  <c r="D72" i="3"/>
  <c r="D64" i="3"/>
  <c r="D56" i="3"/>
  <c r="D48" i="3"/>
  <c r="D40" i="3"/>
  <c r="D32" i="3"/>
  <c r="D24" i="3"/>
  <c r="D16" i="3"/>
  <c r="D8" i="3"/>
  <c r="D75" i="4"/>
  <c r="D67" i="4"/>
  <c r="D59" i="4"/>
  <c r="D51" i="4"/>
  <c r="D43" i="4"/>
  <c r="D35" i="4"/>
  <c r="D27" i="4"/>
  <c r="D19" i="4"/>
  <c r="D11" i="4"/>
  <c r="D3" i="4"/>
</calcChain>
</file>

<file path=xl/sharedStrings.xml><?xml version="1.0" encoding="utf-8"?>
<sst xmlns="http://schemas.openxmlformats.org/spreadsheetml/2006/main" count="3256" uniqueCount="727">
  <si>
    <t>Selskabsnavn</t>
  </si>
  <si>
    <t>V015</t>
  </si>
  <si>
    <t>V021</t>
  </si>
  <si>
    <t>V027</t>
  </si>
  <si>
    <t>V035</t>
  </si>
  <si>
    <t>V043</t>
  </si>
  <si>
    <t>DIN Forsyning Vand A/S</t>
  </si>
  <si>
    <t>V044</t>
  </si>
  <si>
    <t>V047</t>
  </si>
  <si>
    <t>V053</t>
  </si>
  <si>
    <t>V054</t>
  </si>
  <si>
    <t>V055</t>
  </si>
  <si>
    <t>V057</t>
  </si>
  <si>
    <t>V058</t>
  </si>
  <si>
    <t>Furesø Vandforsyning a.m.b.a.</t>
  </si>
  <si>
    <t>V059</t>
  </si>
  <si>
    <t>V061</t>
  </si>
  <si>
    <t>V065</t>
  </si>
  <si>
    <t>V067</t>
  </si>
  <si>
    <t>V068</t>
  </si>
  <si>
    <t>V069</t>
  </si>
  <si>
    <t>V070</t>
  </si>
  <si>
    <t>V071</t>
  </si>
  <si>
    <t>V080</t>
  </si>
  <si>
    <t>V081</t>
  </si>
  <si>
    <t>V085</t>
  </si>
  <si>
    <t>V086</t>
  </si>
  <si>
    <t>V087</t>
  </si>
  <si>
    <t>V089</t>
  </si>
  <si>
    <t>V090</t>
  </si>
  <si>
    <t>V091</t>
  </si>
  <si>
    <t>V092</t>
  </si>
  <si>
    <t>V094</t>
  </si>
  <si>
    <t>V097</t>
  </si>
  <si>
    <t>V098</t>
  </si>
  <si>
    <t>V102</t>
  </si>
  <si>
    <t>Ikast Vandforsyning A.m.b.A</t>
  </si>
  <si>
    <t>V106</t>
  </si>
  <si>
    <t>V107</t>
  </si>
  <si>
    <t>V111</t>
  </si>
  <si>
    <t>V112</t>
  </si>
  <si>
    <t>V113</t>
  </si>
  <si>
    <t>V116</t>
  </si>
  <si>
    <t>V120</t>
  </si>
  <si>
    <t>V125</t>
  </si>
  <si>
    <t>V126</t>
  </si>
  <si>
    <t>V132</t>
  </si>
  <si>
    <t>V133</t>
  </si>
  <si>
    <t>V136</t>
  </si>
  <si>
    <t>V137</t>
  </si>
  <si>
    <t>V144</t>
  </si>
  <si>
    <t>V153</t>
  </si>
  <si>
    <t>V154</t>
  </si>
  <si>
    <t>V155</t>
  </si>
  <si>
    <t>V156</t>
  </si>
  <si>
    <t>V160</t>
  </si>
  <si>
    <t>V162</t>
  </si>
  <si>
    <t>V164</t>
  </si>
  <si>
    <t>V165</t>
  </si>
  <si>
    <t>V166</t>
  </si>
  <si>
    <t>V167</t>
  </si>
  <si>
    <t>V174</t>
  </si>
  <si>
    <t>V178</t>
  </si>
  <si>
    <t>V181</t>
  </si>
  <si>
    <t>V184</t>
  </si>
  <si>
    <t>V188</t>
  </si>
  <si>
    <t>V190</t>
  </si>
  <si>
    <t>V191</t>
  </si>
  <si>
    <t>V197</t>
  </si>
  <si>
    <t>V198</t>
  </si>
  <si>
    <t>V199</t>
  </si>
  <si>
    <t>Vandfællesskabet Nordvestsjælland</t>
  </si>
  <si>
    <t>V202</t>
  </si>
  <si>
    <t>V205</t>
  </si>
  <si>
    <t>V206</t>
  </si>
  <si>
    <t>V207</t>
  </si>
  <si>
    <t>V212</t>
  </si>
  <si>
    <t>V218</t>
  </si>
  <si>
    <t>V220</t>
  </si>
  <si>
    <t>Netvolumenbidrag OPEX</t>
  </si>
  <si>
    <t>Boringer</t>
  </si>
  <si>
    <t>Vandværker</t>
  </si>
  <si>
    <t>Trykforøgerstationer</t>
  </si>
  <si>
    <t>Rentvandsledning</t>
  </si>
  <si>
    <t>Stik</t>
  </si>
  <si>
    <t>Kunder</t>
  </si>
  <si>
    <t>Boring</t>
  </si>
  <si>
    <t>Type 1 (m3)</t>
  </si>
  <si>
    <t>Type 2 (m3)</t>
  </si>
  <si>
    <t>Type 3 (m3)</t>
  </si>
  <si>
    <t>Regulering pH (m3)</t>
  </si>
  <si>
    <t>Trykreduktionsstationer (stk)</t>
  </si>
  <si>
    <t>Antal 0-100 (stk)</t>
  </si>
  <si>
    <t>Kapacitet 401- (m3/t)</t>
  </si>
  <si>
    <t>Rentvandsledninger</t>
  </si>
  <si>
    <t>Byzone (km)</t>
  </si>
  <si>
    <t>Cityzone (km)</t>
  </si>
  <si>
    <t>Indre cityzone (km)</t>
  </si>
  <si>
    <t>Landzone (stk)</t>
  </si>
  <si>
    <t>Målerer og kunder</t>
  </si>
  <si>
    <t>Antal målere (stk)</t>
  </si>
  <si>
    <t>Generel administration</t>
  </si>
  <si>
    <t>Generel Adm</t>
  </si>
  <si>
    <t>Kapacitet 101-400 (m3/t)</t>
  </si>
  <si>
    <t>ID nummer</t>
  </si>
  <si>
    <t>Finansielle omkostninger ifølge årsrapport</t>
  </si>
  <si>
    <t>Øvrige aktiver</t>
  </si>
  <si>
    <t>Debiteret vandmængde (total)</t>
  </si>
  <si>
    <t>Antal</t>
  </si>
  <si>
    <t>Adresser pr. ledning</t>
  </si>
  <si>
    <t>Produktion</t>
  </si>
  <si>
    <t>Fælles</t>
  </si>
  <si>
    <t xml:space="preserve">Distribution </t>
  </si>
  <si>
    <t>FORS Vand Holbæk A/S</t>
  </si>
  <si>
    <t>V030</t>
  </si>
  <si>
    <t>Total</t>
  </si>
  <si>
    <t>Alder</t>
  </si>
  <si>
    <t>FADO</t>
  </si>
  <si>
    <t>Totale anlægsomkostninger</t>
  </si>
  <si>
    <t>Gennemførte Investeringer</t>
  </si>
  <si>
    <t>FADO
- særlige forhold</t>
  </si>
  <si>
    <t>Totale anlægsomkostninger
- særlige forhold
- øvrige aktiver</t>
  </si>
  <si>
    <t>Tæthed 
(adresser pr. km ledning)</t>
  </si>
  <si>
    <t>Tæthed</t>
  </si>
  <si>
    <t>Netvolumenbidrag CAPEX</t>
  </si>
  <si>
    <t>Adresser</t>
  </si>
  <si>
    <t>km ledning</t>
  </si>
  <si>
    <t>ARWOS VAND A/S</t>
  </si>
  <si>
    <t>BRANDE VANDVÆRK A.M.B.A</t>
  </si>
  <si>
    <t>Fors Vand Roskilde A/S</t>
  </si>
  <si>
    <t>Novafos Vand Frederikssund A/S</t>
  </si>
  <si>
    <t>Novafos Vand Gentofte A/S</t>
  </si>
  <si>
    <t>Novafos Vand Gladsaxe A/S</t>
  </si>
  <si>
    <t>Greve Vandværk A.m.b.a.</t>
  </si>
  <si>
    <t>GEV Vand A/S</t>
  </si>
  <si>
    <t>HILLERØD VAND A/S</t>
  </si>
  <si>
    <t>HOFOR VAND BRØNDBY A/S</t>
  </si>
  <si>
    <t>HORSENS VAND A/S</t>
  </si>
  <si>
    <t>NOVAFOS VAND HØRSHOLM A/S</t>
  </si>
  <si>
    <t>KALUNDBORG OVERFLADEVAND A/S</t>
  </si>
  <si>
    <t>Midtfyns Vandforsyning A.m.b.A.</t>
  </si>
  <si>
    <t>Odder Vandværk A.m.b.a.</t>
  </si>
  <si>
    <t>RINGKØBING-SKJERN VAND A/S</t>
  </si>
  <si>
    <t>RINGSTED VAND A/S</t>
  </si>
  <si>
    <t>Novafos Vand Rudersdal A/S</t>
  </si>
  <si>
    <t>Novafos Vand Sjælsø A/S</t>
  </si>
  <si>
    <t>Skanderborg Vand A/S</t>
  </si>
  <si>
    <t>STRUER ENERGI VAND A/S</t>
  </si>
  <si>
    <t>TÅRNBYFORSYNING Vand A/S</t>
  </si>
  <si>
    <t>Novafos Vand Ballerup A/S</t>
  </si>
  <si>
    <t>Vandcenter Djurs a.m.b.a.</t>
  </si>
  <si>
    <t>VERDO VAND A/S</t>
  </si>
  <si>
    <t>AALBORG VAND A/S</t>
  </si>
  <si>
    <t>År</t>
  </si>
  <si>
    <t>Prisudvikling</t>
  </si>
  <si>
    <t>Prisudvikling + 1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</si>
  <si>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</si>
  <si>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</si>
  <si>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</si>
  <si>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</si>
  <si>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</si>
  <si>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</si>
  <si>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</si>
  <si>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</si>
  <si>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</si>
  <si>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</si>
  <si>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Birkerød Vandforsyning A.m.b.a.</t>
  </si>
  <si>
    <t>BORNHOLMS VAND A/S</t>
  </si>
  <si>
    <t>BRØNDERSLEV VAND A/S</t>
  </si>
  <si>
    <t>ENERGI VIBORG VAND A/S</t>
  </si>
  <si>
    <t>FAXE VANDFORSYNING A/S</t>
  </si>
  <si>
    <t>FORSYNING HELSINGØR VAND A/S</t>
  </si>
  <si>
    <t>FREDENSBORG VAND A/S</t>
  </si>
  <si>
    <t>FREDERIKSBERG VAND A/S</t>
  </si>
  <si>
    <t>FREDERIKSHAVN VAND A/S</t>
  </si>
  <si>
    <t>GLOSTRUP VAND A/S</t>
  </si>
  <si>
    <t>GULDBORGSUND VAND A/S</t>
  </si>
  <si>
    <t>PROVAS-HADERSLEV VAND A/S</t>
  </si>
  <si>
    <t>HERNING VAND A/S</t>
  </si>
  <si>
    <t>HJØRRING VANDSELSKAB A/S</t>
  </si>
  <si>
    <t>HOFOR VAND ALBERTSLUND A/S</t>
  </si>
  <si>
    <t>HOFOR VAND HERLEV A/S</t>
  </si>
  <si>
    <t>HOFOR VAND HVIDOVRE A/S</t>
  </si>
  <si>
    <t>HOFOR VAND KØBENHAVN A/S</t>
  </si>
  <si>
    <t>HOFOR VAND RØDOVRE A/S</t>
  </si>
  <si>
    <t>HTK VAND A/S</t>
  </si>
  <si>
    <t>ISHØJ VAND A/S</t>
  </si>
  <si>
    <t>KALUNDBORG VANDFORSYNING A/S</t>
  </si>
  <si>
    <t>KERTEMINDE FORSYNING - VAND A/S</t>
  </si>
  <si>
    <t>KØGE VAND A/S</t>
  </si>
  <si>
    <t>LEMVIG VAND A/S</t>
  </si>
  <si>
    <t>LOLLAND VAND A/S</t>
  </si>
  <si>
    <t>LYNGBY-TAARBÆK VAND A/S</t>
  </si>
  <si>
    <t>MARIAGERFJORD VAND A/S</t>
  </si>
  <si>
    <t>NFS VAND A/S</t>
  </si>
  <si>
    <t>NK-VAND A/S</t>
  </si>
  <si>
    <t>RØNNE VAND A/S</t>
  </si>
  <si>
    <t>SILKEBORG VAND A/S</t>
  </si>
  <si>
    <t>SK VAND A/S</t>
  </si>
  <si>
    <t>SKIVE VAND A/S</t>
  </si>
  <si>
    <t>SVENDBORG VAND A/S</t>
  </si>
  <si>
    <t>SONFOR Vand A/S</t>
  </si>
  <si>
    <t>Thy Drikkevand A/S</t>
  </si>
  <si>
    <t>TREFOR VAND A/S</t>
  </si>
  <si>
    <t>TØNDER VAND A/S</t>
  </si>
  <si>
    <t>VANDCENTER SYD A/S</t>
  </si>
  <si>
    <t>VEJEN VAND A/S</t>
  </si>
  <si>
    <t>VESTFORSYNING VAND A/S</t>
  </si>
  <si>
    <t>VORDINGBORG VAND A/S</t>
  </si>
  <si>
    <t>Aarhus Vand Forsyning A/S</t>
  </si>
  <si>
    <t>Arwos Vand</t>
  </si>
  <si>
    <t>Brande Vandværk</t>
  </si>
  <si>
    <t>Herning Vand</t>
  </si>
  <si>
    <t>NFS Vand</t>
  </si>
  <si>
    <t>Odder Vandværk</t>
  </si>
  <si>
    <t>Ringkøbing-Skjern Vand</t>
  </si>
  <si>
    <t>Struer Energi Vand</t>
  </si>
  <si>
    <t>Svendborg Vand</t>
  </si>
  <si>
    <t>Tårnbyforsyning Vand</t>
  </si>
  <si>
    <t>Vandcenter Syd</t>
  </si>
  <si>
    <t>Vejen Vand</t>
  </si>
  <si>
    <t>Hjørring Vandselskab</t>
  </si>
  <si>
    <t>Forsyning Helsingør Vand</t>
  </si>
  <si>
    <t>Greve Vandværk</t>
  </si>
  <si>
    <t>Fors Vand Holbæk</t>
  </si>
  <si>
    <t>Kalundborg Vandforsyning</t>
  </si>
  <si>
    <t>Faxe Vandforsyning</t>
  </si>
  <si>
    <t>Fredensborg Vand</t>
  </si>
  <si>
    <t>Frederiksberg Vand</t>
  </si>
  <si>
    <t>Guldborgsund Vand</t>
  </si>
  <si>
    <t>Hillerød Vand</t>
  </si>
  <si>
    <t>Hofor Vand Albertslund</t>
  </si>
  <si>
    <t>Hofor Vand Brøndby</t>
  </si>
  <si>
    <t>Hofor Vand Herlev</t>
  </si>
  <si>
    <t>Hofor Vand Hvidovre</t>
  </si>
  <si>
    <t>Hofor Vand København</t>
  </si>
  <si>
    <t>Hofor Vand Rødovre</t>
  </si>
  <si>
    <t>Horsens Vand</t>
  </si>
  <si>
    <t>Kalundborg Overfladevand</t>
  </si>
  <si>
    <t>Køge Vand</t>
  </si>
  <si>
    <t>Lolland Vand</t>
  </si>
  <si>
    <t>Lyngby-Taarbæk Vand</t>
  </si>
  <si>
    <t>Midtfyns Vandforsyning</t>
  </si>
  <si>
    <t>NK-Vand</t>
  </si>
  <si>
    <t>Ringsted Vand</t>
  </si>
  <si>
    <t>Fors Vand Roskilde</t>
  </si>
  <si>
    <t>Novafos Vand Rudersdal</t>
  </si>
  <si>
    <t>Rønne Vand</t>
  </si>
  <si>
    <t>Silkeborg Vand</t>
  </si>
  <si>
    <t>SK Vand</t>
  </si>
  <si>
    <t>Skanderborg Vand</t>
  </si>
  <si>
    <t>Skive Vand</t>
  </si>
  <si>
    <t>Tønder Vand</t>
  </si>
  <si>
    <t>Verdo Vand</t>
  </si>
  <si>
    <t>Vestforsyning Vand</t>
  </si>
  <si>
    <t>Aarhus Vand</t>
  </si>
  <si>
    <t>ID</t>
  </si>
  <si>
    <t>Samlede påvirkelige omkostninger 
(inden øvrige aktiver og særlige forhold)</t>
  </si>
  <si>
    <t>Særlige forhold
Driftsomkostninger</t>
  </si>
  <si>
    <t>Særlige forhold
Anlægsomkostninger</t>
  </si>
  <si>
    <t>Samlet km ledning</t>
  </si>
  <si>
    <t>Potentiale 
i kr.</t>
  </si>
  <si>
    <t>Potentiale 
i pct.</t>
  </si>
  <si>
    <t>Årligt krav 
i pct.</t>
  </si>
  <si>
    <t>Korrigeret årligt krav 
i pct.</t>
  </si>
  <si>
    <t>NAVN</t>
  </si>
  <si>
    <t>ALDER</t>
  </si>
  <si>
    <t>TAETHED</t>
  </si>
  <si>
    <t>OPEX_U</t>
  </si>
  <si>
    <t>CAPEX_U</t>
  </si>
  <si>
    <t>INV_OMK</t>
  </si>
  <si>
    <t>FATO</t>
  </si>
  <si>
    <t>ALDER_FROSSET</t>
  </si>
  <si>
    <t>TAETHED_FROSSET</t>
  </si>
  <si>
    <t>OPEX_U_FROSSET</t>
  </si>
  <si>
    <t>CAPEX_U_FROSSET</t>
  </si>
  <si>
    <t>FADO_FROSSET</t>
  </si>
  <si>
    <t>INV_OMK_FROSSET</t>
  </si>
  <si>
    <t>FATO_FROSSET</t>
  </si>
  <si>
    <t>Vandvaerker</t>
  </si>
  <si>
    <t>Trykforoegerstationer</t>
  </si>
  <si>
    <t>Boringer_FROSSET</t>
  </si>
  <si>
    <t>Vandvaerker_FROSSET</t>
  </si>
  <si>
    <t>Trykforoegerstationer_FROSSET</t>
  </si>
  <si>
    <t>Rentvandsledning_FROSSET</t>
  </si>
  <si>
    <t>Kunder_FROSSET</t>
  </si>
  <si>
    <t>2024-2025</t>
  </si>
  <si>
    <t>Lemvig Vand</t>
  </si>
  <si>
    <t>Sonfor Vand</t>
  </si>
  <si>
    <t>Thy Drikkevand</t>
  </si>
  <si>
    <t>Navn</t>
  </si>
  <si>
    <t>Type</t>
  </si>
  <si>
    <t>2: Almindelig behandling</t>
  </si>
  <si>
    <t>3: Avanceret behandling</t>
  </si>
  <si>
    <t>Søndre Vandværk</t>
  </si>
  <si>
    <t>4: Regulering af pH</t>
  </si>
  <si>
    <t>1: Ingen behandling</t>
  </si>
  <si>
    <t>Humlebæk Vandværk</t>
  </si>
  <si>
    <t>Endrup Vandværk</t>
  </si>
  <si>
    <t>Vandværk Nord</t>
  </si>
  <si>
    <t>Vandværk Syd</t>
  </si>
  <si>
    <t>Frederiksgade Vandværk</t>
  </si>
  <si>
    <t>Stenholt Vandværk</t>
  </si>
  <si>
    <t>St. Lyngby Vandværk</t>
  </si>
  <si>
    <t>Brøndbyøster</t>
  </si>
  <si>
    <t>Hvidovre</t>
  </si>
  <si>
    <t>Regnemark</t>
  </si>
  <si>
    <t>Islevbro</t>
  </si>
  <si>
    <t>Slangerup</t>
  </si>
  <si>
    <t>Marbjerg</t>
  </si>
  <si>
    <t>Søndersø</t>
  </si>
  <si>
    <t>Thorsbro</t>
  </si>
  <si>
    <t>Tinghøjbeholder</t>
  </si>
  <si>
    <t>Espevang</t>
  </si>
  <si>
    <t>Marke</t>
  </si>
  <si>
    <t>Deigvad</t>
  </si>
  <si>
    <t>Svebølle</t>
  </si>
  <si>
    <t>Sejerø</t>
  </si>
  <si>
    <t>Lundtofte Vandværk</t>
  </si>
  <si>
    <t>Årslev</t>
  </si>
  <si>
    <t>Havndrup</t>
  </si>
  <si>
    <t>Espe</t>
  </si>
  <si>
    <t>Åværket</t>
  </si>
  <si>
    <t>Vandgården</t>
  </si>
  <si>
    <t>Boulstrup Vandværk</t>
  </si>
  <si>
    <t>Ulvskov Vandværk</t>
  </si>
  <si>
    <t>Hornherredværket</t>
  </si>
  <si>
    <t>Stampen Vandværk</t>
  </si>
  <si>
    <t>Robbedale Vandværk</t>
  </si>
  <si>
    <t>Gøngeherred Vandværk</t>
  </si>
  <si>
    <t>Valbygård</t>
  </si>
  <si>
    <t>Erdrup</t>
  </si>
  <si>
    <t>Vestre</t>
  </si>
  <si>
    <t>Nordre</t>
  </si>
  <si>
    <t>Kirke Stillinge</t>
  </si>
  <si>
    <t>Struer Vandværk</t>
  </si>
  <si>
    <t>Venø Vandværk</t>
  </si>
  <si>
    <t>Sørupværket</t>
  </si>
  <si>
    <t>Skovmølleværket</t>
  </si>
  <si>
    <t>Hovedværket</t>
  </si>
  <si>
    <t>Holmehaveværket</t>
  </si>
  <si>
    <t>Lindvedværket</t>
  </si>
  <si>
    <t>Lundeværket</t>
  </si>
  <si>
    <t>Dalumværket</t>
  </si>
  <si>
    <t>Nibsbjerg Vandcenter</t>
  </si>
  <si>
    <t>Frøjk Vandværk</t>
  </si>
  <si>
    <t>Vinderup Vandcenter</t>
  </si>
  <si>
    <t>Sandagergård Vandværk</t>
  </si>
  <si>
    <t>Mogenstrup Vandværk</t>
  </si>
  <si>
    <t>Bederværket</t>
  </si>
  <si>
    <t>Elstedværket</t>
  </si>
  <si>
    <t>Kastedværket</t>
  </si>
  <si>
    <t>Lyngbyværket</t>
  </si>
  <si>
    <t>Nye</t>
  </si>
  <si>
    <t>Stautrupværket</t>
  </si>
  <si>
    <t>Truelsbjergværket</t>
  </si>
  <si>
    <t>Østerbyværket</t>
  </si>
  <si>
    <t>Åboværket</t>
  </si>
  <si>
    <t>V030_2</t>
  </si>
  <si>
    <t>V054_2</t>
  </si>
  <si>
    <t>V068_2</t>
  </si>
  <si>
    <t>V068_4</t>
  </si>
  <si>
    <t>V081_2</t>
  </si>
  <si>
    <t>V081_3</t>
  </si>
  <si>
    <t>V086_2</t>
  </si>
  <si>
    <t>V087_3</t>
  </si>
  <si>
    <t>V090_3</t>
  </si>
  <si>
    <t>V091_2</t>
  </si>
  <si>
    <t>V091_3</t>
  </si>
  <si>
    <t>V092_2</t>
  </si>
  <si>
    <t>V094_2</t>
  </si>
  <si>
    <t>V097_2</t>
  </si>
  <si>
    <t>V111_1</t>
  </si>
  <si>
    <t>V111_3</t>
  </si>
  <si>
    <t>V112_1</t>
  </si>
  <si>
    <t>V112_2</t>
  </si>
  <si>
    <t>V112_3</t>
  </si>
  <si>
    <t>V126_3</t>
  </si>
  <si>
    <t>V133_2</t>
  </si>
  <si>
    <t>V154_2</t>
  </si>
  <si>
    <t>V155_2</t>
  </si>
  <si>
    <t>V155_3</t>
  </si>
  <si>
    <t>V160_3</t>
  </si>
  <si>
    <t>V174_2</t>
  </si>
  <si>
    <t>V178_2</t>
  </si>
  <si>
    <t>V178_3</t>
  </si>
  <si>
    <t>V181_2</t>
  </si>
  <si>
    <t>V191_3</t>
  </si>
  <si>
    <t>V199_3</t>
  </si>
  <si>
    <t>V199_2</t>
  </si>
  <si>
    <t>V207_3</t>
  </si>
  <si>
    <t>V220_2</t>
  </si>
  <si>
    <t>V220_3</t>
  </si>
  <si>
    <t>Brande Vandværk a.m.b.a.</t>
  </si>
  <si>
    <t>H2O Fabrikken</t>
  </si>
  <si>
    <t>Vridsløselille</t>
  </si>
  <si>
    <t>Lejre / Gevninge</t>
  </si>
  <si>
    <t>Langerød</t>
  </si>
  <si>
    <t>Højballegård Vandværk</t>
  </si>
  <si>
    <t>Rugballegård Vandværk</t>
  </si>
  <si>
    <t>Endelave Vandværk</t>
  </si>
  <si>
    <t>Bjerrebo Vandværk</t>
  </si>
  <si>
    <t>Ubehandlet Søvand</t>
  </si>
  <si>
    <t>Behandlet søvand - Tissø2 vandværk</t>
  </si>
  <si>
    <t>V144_4</t>
  </si>
  <si>
    <t>V144_1</t>
  </si>
  <si>
    <t>Benløse Vandværk</t>
  </si>
  <si>
    <t>Kværkeby vandværk</t>
  </si>
  <si>
    <t>Havemølle vandværker</t>
  </si>
  <si>
    <t>Tystevad vandværk</t>
  </si>
  <si>
    <t>Hornsherredværket</t>
  </si>
  <si>
    <t>V165_3</t>
  </si>
  <si>
    <t>Kobbelhøje vandværk</t>
  </si>
  <si>
    <t>Humlum vandværk</t>
  </si>
  <si>
    <t>Grubbemøllen</t>
  </si>
  <si>
    <t>Landet værk</t>
  </si>
  <si>
    <t>Mjang Dam Vandværk</t>
  </si>
  <si>
    <t>Rønsdam Vandværk</t>
  </si>
  <si>
    <t>Huholt Vandværk</t>
  </si>
  <si>
    <t>Havnbjerg Vandværk</t>
  </si>
  <si>
    <t>Gråsten Vandværk</t>
  </si>
  <si>
    <t>Tårnby Forsyning Vand A/S</t>
  </si>
  <si>
    <t>Oppumpet vandmængde i 2025</t>
  </si>
  <si>
    <t>Oppumpet vandmængde i 2024</t>
  </si>
  <si>
    <t>Farversmølle Vandværk</t>
  </si>
  <si>
    <t>V015_2</t>
  </si>
  <si>
    <t>Lindsnakke Vandværk</t>
  </si>
  <si>
    <t>Loddenhøj Vandværk</t>
  </si>
  <si>
    <t>Søgård Vandværk</t>
  </si>
  <si>
    <t>Birkerød Vandforsyning</t>
  </si>
  <si>
    <t>Birkerød Vandværk</t>
  </si>
  <si>
    <t>V021_3</t>
  </si>
  <si>
    <t>Bornholms Vand</t>
  </si>
  <si>
    <t>Smålyngsværket</t>
  </si>
  <si>
    <t>V027_2</t>
  </si>
  <si>
    <t>Brogård Vandværk</t>
  </si>
  <si>
    <t>Rø Vandværk</t>
  </si>
  <si>
    <t>Hasle Vandværk</t>
  </si>
  <si>
    <t>DIN Forsyning Vand</t>
  </si>
  <si>
    <t>Esbjerg - LINIE 1</t>
  </si>
  <si>
    <t>V044_2</t>
  </si>
  <si>
    <t>Esbjerg - Linie 2</t>
  </si>
  <si>
    <t>Vognsbøl</t>
  </si>
  <si>
    <t>V Gjesing</t>
  </si>
  <si>
    <t>Astrup 1</t>
  </si>
  <si>
    <t>V044_4</t>
  </si>
  <si>
    <t>Astrup 2</t>
  </si>
  <si>
    <t>V044_3</t>
  </si>
  <si>
    <t>Kvong</t>
  </si>
  <si>
    <t>Skindermarken - Linje 1</t>
  </si>
  <si>
    <t>Skindermarken - Linje 2</t>
  </si>
  <si>
    <t>Aike</t>
  </si>
  <si>
    <t>Teknisk Vand</t>
  </si>
  <si>
    <t>V044_1</t>
  </si>
  <si>
    <t>Lerpøt</t>
  </si>
  <si>
    <t>Varde</t>
  </si>
  <si>
    <t>Novafos Vand Frederikssund</t>
  </si>
  <si>
    <t>Dalby Vandværk</t>
  </si>
  <si>
    <t>V058_2</t>
  </si>
  <si>
    <t>Femhøj Vandværk</t>
  </si>
  <si>
    <t>Marbæk Vandværk</t>
  </si>
  <si>
    <t>Skovsognets Vandværk</t>
  </si>
  <si>
    <t>Ådalens Vandværk</t>
  </si>
  <si>
    <t>Furesø Vandforsyning</t>
  </si>
  <si>
    <t>Bregnerød Vandværk</t>
  </si>
  <si>
    <t>V059_2</t>
  </si>
  <si>
    <t>Farum Vandværk</t>
  </si>
  <si>
    <t>Lillevang Vandværk</t>
  </si>
  <si>
    <t>Værløse Vandværk</t>
  </si>
  <si>
    <t>Novafos Vand Gentofte</t>
  </si>
  <si>
    <t>Ermelundens Vandværk</t>
  </si>
  <si>
    <t>V061_2</t>
  </si>
  <si>
    <t>Novafos Vand Gladsaxe</t>
  </si>
  <si>
    <t>Bagsværd Vandværk</t>
  </si>
  <si>
    <t>V065_3</t>
  </si>
  <si>
    <t>Søborg Vandværk</t>
  </si>
  <si>
    <t>V065_2</t>
  </si>
  <si>
    <t xml:space="preserve">GEV Vand </t>
  </si>
  <si>
    <t>Vandværk 2</t>
  </si>
  <si>
    <t>V069_4</t>
  </si>
  <si>
    <t>Vandværk 3</t>
  </si>
  <si>
    <t>Filskov</t>
  </si>
  <si>
    <t>Nykøbing Vandværk</t>
  </si>
  <si>
    <t>V070_2</t>
  </si>
  <si>
    <t>Stubbekøbing Vandværk</t>
  </si>
  <si>
    <t>Sakskøbing Vandværk</t>
  </si>
  <si>
    <t>Nysted Vandværk</t>
  </si>
  <si>
    <t>Våbensted Vandværk</t>
  </si>
  <si>
    <t>Østre Vandværk</t>
  </si>
  <si>
    <t>V080_2</t>
  </si>
  <si>
    <t>Nordre Vandværk</t>
  </si>
  <si>
    <t>Vestre Vandværk</t>
  </si>
  <si>
    <t>V080_4</t>
  </si>
  <si>
    <t>Bagterp</t>
  </si>
  <si>
    <t>V085_3</t>
  </si>
  <si>
    <t>Bredkær</t>
  </si>
  <si>
    <t>V085_2</t>
  </si>
  <si>
    <t>Horne (Vest)</t>
  </si>
  <si>
    <t>Hirtshals (Øst)</t>
  </si>
  <si>
    <t>HTK Vand</t>
  </si>
  <si>
    <t>Snubbekors Værket</t>
  </si>
  <si>
    <t>V098_2</t>
  </si>
  <si>
    <t>Ishøj Vand</t>
  </si>
  <si>
    <t xml:space="preserve">Ishøj Vandværk </t>
  </si>
  <si>
    <t>V107_2</t>
  </si>
  <si>
    <t>Løgtved Vanværk</t>
  </si>
  <si>
    <t>Kærby Vandværk</t>
  </si>
  <si>
    <t>Køge Vandværk</t>
  </si>
  <si>
    <t>V116_2</t>
  </si>
  <si>
    <t>Fruedal vandværk</t>
  </si>
  <si>
    <t>Engbjerg I</t>
  </si>
  <si>
    <t>V120_2</t>
  </si>
  <si>
    <t>Engbjerg II</t>
  </si>
  <si>
    <t>Klosterheden</t>
  </si>
  <si>
    <t>Maribo Vandværk</t>
  </si>
  <si>
    <t>V125_2</t>
  </si>
  <si>
    <t>Rødby</t>
  </si>
  <si>
    <t>Regional</t>
  </si>
  <si>
    <t>Nakskov</t>
  </si>
  <si>
    <t>Hjulby Bro</t>
  </si>
  <si>
    <t>V136_2</t>
  </si>
  <si>
    <t>Skovparken</t>
  </si>
  <si>
    <t>Tårup</t>
  </si>
  <si>
    <t>Hjelmsølille VV</t>
  </si>
  <si>
    <t>V137_2</t>
  </si>
  <si>
    <t>Pindsobro VV</t>
  </si>
  <si>
    <t>Holte Vandværk</t>
  </si>
  <si>
    <t>V156_2</t>
  </si>
  <si>
    <t>Nærum Vandværk</t>
  </si>
  <si>
    <t>Hvinningdal Vandværk</t>
  </si>
  <si>
    <t>V162_4</t>
  </si>
  <si>
    <t>Gudenå Vandværk</t>
  </si>
  <si>
    <t>Knudlund Vandværk</t>
  </si>
  <si>
    <t>Novafos Vand Sjælsø</t>
  </si>
  <si>
    <t>Sjælsø Vandværk</t>
  </si>
  <si>
    <t>V164_3</t>
  </si>
  <si>
    <t>Dyrehaveværket</t>
  </si>
  <si>
    <t>Fredernsborg</t>
  </si>
  <si>
    <t>V166_2</t>
  </si>
  <si>
    <t>Gram</t>
  </si>
  <si>
    <t>V166_4</t>
  </si>
  <si>
    <t>Stilling</t>
  </si>
  <si>
    <t>V166_3</t>
  </si>
  <si>
    <t>Herskind</t>
  </si>
  <si>
    <t>Voerladegård</t>
  </si>
  <si>
    <t>Skive Vandværk</t>
  </si>
  <si>
    <t>V167_2</t>
  </si>
  <si>
    <t>Ørslevkloster Vandværk</t>
  </si>
  <si>
    <t>Lem Vandværk</t>
  </si>
  <si>
    <t>Vihøj Vandværk</t>
  </si>
  <si>
    <t>Fur Vandværk</t>
  </si>
  <si>
    <t>Junget Vandværk</t>
  </si>
  <si>
    <t>V167_3</t>
  </si>
  <si>
    <t>Selde Vandværk</t>
  </si>
  <si>
    <t>Højer</t>
  </si>
  <si>
    <t>V190_2</t>
  </si>
  <si>
    <t>Løgumkloster</t>
  </si>
  <si>
    <t>Tønder</t>
  </si>
  <si>
    <t>Novafos Vand Ballerup</t>
  </si>
  <si>
    <t>Ballerup Vandværk</t>
  </si>
  <si>
    <t>V197_2</t>
  </si>
  <si>
    <t>Lautrup Vandværk</t>
  </si>
  <si>
    <t>Måløv Vandværk</t>
  </si>
  <si>
    <t>Pilegårdens Vandværk</t>
  </si>
  <si>
    <t>V197_3</t>
  </si>
  <si>
    <t>Oust Mølle</t>
  </si>
  <si>
    <t>V206_1</t>
  </si>
  <si>
    <t>Østrupskov</t>
  </si>
  <si>
    <t>V206_2</t>
  </si>
  <si>
    <t>Bunkedal</t>
  </si>
  <si>
    <t>Vilstrup</t>
  </si>
  <si>
    <t>Vordingborg Vand</t>
  </si>
  <si>
    <t>Mørkeskov</t>
  </si>
  <si>
    <t>V212_2</t>
  </si>
  <si>
    <t>Bakkebølle</t>
  </si>
  <si>
    <t>Præstø</t>
  </si>
  <si>
    <t>Møn nyt vandværk</t>
  </si>
  <si>
    <t>V212_3</t>
  </si>
  <si>
    <t>Kastrup-Neder Vindinge?</t>
  </si>
  <si>
    <t>Frederikshavn Vand</t>
  </si>
  <si>
    <t>Glostrup Vand</t>
  </si>
  <si>
    <t>Haderslev Vand</t>
  </si>
  <si>
    <t>Novafos Vand Hørsholm</t>
  </si>
  <si>
    <t>Kerteminde Forsyning - Vand</t>
  </si>
  <si>
    <t>Brønderslev Vand</t>
  </si>
  <si>
    <t>V035_2</t>
  </si>
  <si>
    <t>Energi Viborg Vand</t>
  </si>
  <si>
    <t>Nordværket</t>
  </si>
  <si>
    <t>V043_3</t>
  </si>
  <si>
    <t>Sydværket</t>
  </si>
  <si>
    <t>Kølvrå</t>
  </si>
  <si>
    <t>Hellebæk Vandværk, uv-anlæg</t>
  </si>
  <si>
    <t>V053_3</t>
  </si>
  <si>
    <t>Snekkersten Vandværk, uv-anlæg</t>
  </si>
  <si>
    <t>Hellebæk Vandværk (vandværk 1)</t>
  </si>
  <si>
    <t>V053_2</t>
  </si>
  <si>
    <t>Snekkersten Vandværk (vandværk 2)</t>
  </si>
  <si>
    <t>Vandværk 1</t>
  </si>
  <si>
    <t>V055_3</t>
  </si>
  <si>
    <t xml:space="preserve">Tolne Vandværk </t>
  </si>
  <si>
    <t>V057_2</t>
  </si>
  <si>
    <t xml:space="preserve">Åsted vandværk </t>
  </si>
  <si>
    <t>Hovedvandværk</t>
  </si>
  <si>
    <t>V067_2</t>
  </si>
  <si>
    <t>Hjælpevandværk</t>
  </si>
  <si>
    <t>Haderslev kommunes Vandværker</t>
  </si>
  <si>
    <t>V071_2</t>
  </si>
  <si>
    <t>Kerteminde vandværk</t>
  </si>
  <si>
    <t>V113_2</t>
  </si>
  <si>
    <t>Bogensø vandværk</t>
  </si>
  <si>
    <t>Ejershåb</t>
  </si>
  <si>
    <t>V113_1</t>
  </si>
  <si>
    <t>Fynshoved vandværk</t>
  </si>
  <si>
    <t>Langøstrand vandværk</t>
  </si>
  <si>
    <t>Langøhuse</t>
  </si>
  <si>
    <t>Klintegaarden vandværk</t>
  </si>
  <si>
    <t>Mariagerfjord Vand</t>
  </si>
  <si>
    <t>Østvandværket</t>
  </si>
  <si>
    <t>V132_1</t>
  </si>
  <si>
    <t>Skivevejens Vandværk</t>
  </si>
  <si>
    <t>V132_2</t>
  </si>
  <si>
    <t>Skjellerup Vandværk</t>
  </si>
  <si>
    <t>True Vandværk</t>
  </si>
  <si>
    <t>St. Arden Vandværk</t>
  </si>
  <si>
    <t>Aquatarium</t>
  </si>
  <si>
    <t>V153_2</t>
  </si>
  <si>
    <t>Lybæk Vandværk</t>
  </si>
  <si>
    <t>Ringkøbing Vandværk</t>
  </si>
  <si>
    <t>Vandværk Øst</t>
  </si>
  <si>
    <t>Torsted vandværk</t>
  </si>
  <si>
    <t>Baun</t>
  </si>
  <si>
    <t>V184_1</t>
  </si>
  <si>
    <t>Ellidsbøl</t>
  </si>
  <si>
    <t>V184_3</t>
  </si>
  <si>
    <t>Hanstholm</t>
  </si>
  <si>
    <t>V184_2</t>
  </si>
  <si>
    <t>Lyngby</t>
  </si>
  <si>
    <t>Tved</t>
  </si>
  <si>
    <t>Tåbel</t>
  </si>
  <si>
    <t>Vang</t>
  </si>
  <si>
    <t>Villerslev</t>
  </si>
  <si>
    <t>TREFOR Vand</t>
  </si>
  <si>
    <t>Staurbyskov</t>
  </si>
  <si>
    <t>V188_2</t>
  </si>
  <si>
    <t>Svenstrup</t>
  </si>
  <si>
    <t>Kongsted LT</t>
  </si>
  <si>
    <t>Kongsted HT</t>
  </si>
  <si>
    <t>Follerup</t>
  </si>
  <si>
    <t>Tørskind</t>
  </si>
  <si>
    <t>Lysholt</t>
  </si>
  <si>
    <t>Sdr. Vejle</t>
  </si>
  <si>
    <t>Østre</t>
  </si>
  <si>
    <t>Sdr. Kolding</t>
  </si>
  <si>
    <t>Trudsbro LT</t>
  </si>
  <si>
    <t>Trudsbro HT</t>
  </si>
  <si>
    <t>Vandcenter Djurs</t>
  </si>
  <si>
    <t>Sostrup Vandværk</t>
  </si>
  <si>
    <t>V198_3</t>
  </si>
  <si>
    <t xml:space="preserve">Vejlby </t>
  </si>
  <si>
    <t>V198_2</t>
  </si>
  <si>
    <t>Havdal</t>
  </si>
  <si>
    <t>Anholt</t>
  </si>
  <si>
    <t>V198_1</t>
  </si>
  <si>
    <t>Dolmer</t>
  </si>
  <si>
    <t>V205_2</t>
  </si>
  <si>
    <t>V205_3</t>
  </si>
  <si>
    <t>Aalborg Vand</t>
  </si>
  <si>
    <t>Kongshøj</t>
  </si>
  <si>
    <t>V218_2</t>
  </si>
  <si>
    <t>Vissegaard</t>
  </si>
  <si>
    <t>Brundsted</t>
  </si>
  <si>
    <t>V218_1</t>
  </si>
  <si>
    <t>Drastrup 1</t>
  </si>
  <si>
    <t>Drastrup 2</t>
  </si>
  <si>
    <t>Engkilden</t>
  </si>
  <si>
    <t>Hvorup</t>
  </si>
  <si>
    <t>Flødal</t>
  </si>
  <si>
    <t>Ferslev</t>
  </si>
  <si>
    <t>Sønderholm</t>
  </si>
  <si>
    <t>Lundby Krat Kildeplads</t>
  </si>
  <si>
    <t>Volsted Plantage</t>
  </si>
  <si>
    <t>FATO
- Øvrige aktiver
- Særlige forhold</t>
  </si>
  <si>
    <t>Debit.VandM</t>
  </si>
  <si>
    <t>fra BM (m3)</t>
  </si>
  <si>
    <t>Haslev</t>
  </si>
  <si>
    <t>V047_2</t>
  </si>
  <si>
    <t xml:space="preserve">Ørnedalsværket </t>
  </si>
  <si>
    <t xml:space="preserve">Sæbygård Vandværk </t>
  </si>
  <si>
    <t>Tolne vandværk (Skagen)</t>
  </si>
  <si>
    <t>V057_3</t>
  </si>
  <si>
    <t xml:space="preserve">Skagen Vandværk </t>
  </si>
  <si>
    <t>V057_4</t>
  </si>
  <si>
    <t>Ikast Vandforsyning</t>
  </si>
  <si>
    <t>Kildeværket</t>
  </si>
  <si>
    <t>V106_2</t>
  </si>
  <si>
    <t>Bøgildværket</t>
  </si>
  <si>
    <t>Sdr. Kolding - aktiv kul rensning</t>
  </si>
  <si>
    <t>V188_3</t>
  </si>
  <si>
    <t>Trudsbro HT - aktiv kul rensning</t>
  </si>
  <si>
    <t>Behandlet_vand</t>
  </si>
  <si>
    <t>Behandlet_vand_FROSSET</t>
  </si>
  <si>
    <t>Vand_eget_forsyningsområde</t>
  </si>
  <si>
    <t>Vand_eget_forsyningsområde_FROSSET</t>
  </si>
  <si>
    <t>Behandlet vand</t>
  </si>
  <si>
    <t>m3</t>
  </si>
  <si>
    <t>CAPEX_Produktion</t>
  </si>
  <si>
    <t>CAPEX_Distribution</t>
  </si>
  <si>
    <t>CAPEX_Produktion_FROSSET</t>
  </si>
  <si>
    <t>CAPEX_Distribution_FROSSET</t>
  </si>
  <si>
    <t>Generel_administration</t>
  </si>
  <si>
    <t>Generel_administration_FROSSET</t>
  </si>
  <si>
    <t>Efficiensscorer
Order-M</t>
  </si>
  <si>
    <t>2025-2026</t>
  </si>
  <si>
    <t>Økonomisk Ramme 
til brug for benchmarking 
(2026 prisniveau)</t>
  </si>
  <si>
    <t>Faktiske omkostninger
(2025 prisniveau)</t>
  </si>
  <si>
    <t>Nye omkostninger i 2025 
(tillæg ØR2027 - Engangstillæg ØR2026 - Engangstillæg ØR2027)
(2025 prisniveau)</t>
  </si>
  <si>
    <t>Tillæg der ikke skal benchmarkes men stilles krav til 
(Tillæg til periodevise driftsomkostninger)
(2025 prisniveau)</t>
  </si>
  <si>
    <t>Effektivt niveau
(2025 prisniveau)</t>
  </si>
  <si>
    <t>Prisfremskrevet 
Effektivt niveau 
(2026 prisniveau)</t>
  </si>
  <si>
    <t>Korrigeret årligt krav
i kr. (2026 prisniveau)</t>
  </si>
  <si>
    <t>Korrigeret årligt krav 
i kr. 
(2027 prisniveau)</t>
  </si>
  <si>
    <t>OPEX-netvolumenmål
Ukorrigeret</t>
  </si>
  <si>
    <t>CAPEX-netvolumenmål
Ukorrigeret</t>
  </si>
  <si>
    <t>Historiske investeringer.</t>
  </si>
  <si>
    <t>Hjælpefelt til opslag</t>
  </si>
  <si>
    <t>Offentliggøres løbende</t>
  </si>
  <si>
    <r>
      <t>Oppumpet vandmængde (m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år)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</si>
</sst>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8" formatCode="0.0000"/>
    <numFmt numFmtId="170" formatCode="#,##0.0000"/>
    <numFmt numFmtId="173" formatCode="0.0"/>
    <numFmt numFmtId="174" formatCode="0.000"/>
    <numFmt numFmtId="175" formatCode="0.0%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 indent="1"/>
    </xf>
    <xf numFmtId="0" fontId="2" fillId="0" borderId="1" xfId="0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vertical="top"/>
    </xf>
    <xf numFmtId="3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top" wrapText="1"/>
    </xf>
    <xf numFmtId="173" fontId="1" fillId="0" borderId="0" xfId="0" applyNumberFormat="1" applyFont="1" applyFill="1" applyBorder="1" applyAlignment="1">
      <alignment vertical="top" wrapText="1"/>
    </xf>
    <xf numFmtId="174" fontId="1" fillId="0" borderId="0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75" fontId="1" fillId="0" borderId="0" xfId="0" applyNumberFormat="1" applyFont="1" applyFill="1" applyBorder="1" applyAlignment="1">
      <alignment vertical="top" wrapText="1"/>
    </xf>
    <xf numFmtId="168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vertical="top"/>
    </xf>
    <xf numFmtId="170" fontId="1" fillId="0" borderId="0" xfId="0" applyNumberFormat="1" applyFont="1" applyFill="1" applyBorder="1" applyAlignment="1">
      <alignment vertical="top"/>
    </xf>
    <xf numFmtId="10" fontId="1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9.bin"/><Relationship Id="rId13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4.bin"/><Relationship Id="rId7" Type="http://schemas.openxmlformats.org/officeDocument/2006/relationships/printerSettings" Target="../printerSettings/printerSettings48.bin"/><Relationship Id="rId12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6" Type="http://schemas.openxmlformats.org/officeDocument/2006/relationships/printerSettings" Target="../printerSettings/printerSettings47.bin"/><Relationship Id="rId1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46.bin"/><Relationship Id="rId10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45.bin"/><Relationship Id="rId9" Type="http://schemas.openxmlformats.org/officeDocument/2006/relationships/printerSettings" Target="../printerSettings/printerSettings50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13" Type="http://schemas.openxmlformats.org/officeDocument/2006/relationships/printerSettings" Target="../printerSettings/printerSettings67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12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11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59.bin"/><Relationship Id="rId10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5.bin"/><Relationship Id="rId13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0.bin"/><Relationship Id="rId7" Type="http://schemas.openxmlformats.org/officeDocument/2006/relationships/printerSettings" Target="../printerSettings/printerSettings74.bin"/><Relationship Id="rId12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11" Type="http://schemas.openxmlformats.org/officeDocument/2006/relationships/printerSettings" Target="../printerSettings/printerSettings78.bin"/><Relationship Id="rId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71.bin"/><Relationship Id="rId9" Type="http://schemas.openxmlformats.org/officeDocument/2006/relationships/printerSettings" Target="../printerSettings/printerSettings7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550A-D3CB-4343-B489-D1851F768243}">
  <sheetPr codeName="Ark1">
    <pageSetUpPr fitToPage="1"/>
  </sheetPr>
  <dimension ref="A1:AJ7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5.85546875" bestFit="1" customWidth="1"/>
    <col min="2" max="2" width="5.28515625" bestFit="1" customWidth="1"/>
    <col min="3" max="3" width="7.140625" bestFit="1" customWidth="1"/>
    <col min="4" max="4" width="9.42578125" bestFit="1" customWidth="1"/>
    <col min="5" max="9" width="11.140625" bestFit="1" customWidth="1"/>
    <col min="10" max="10" width="17" bestFit="1" customWidth="1"/>
    <col min="11" max="11" width="19.42578125" bestFit="1" customWidth="1"/>
    <col min="12" max="12" width="18.42578125" bestFit="1" customWidth="1"/>
    <col min="13" max="13" width="19.5703125" bestFit="1" customWidth="1"/>
    <col min="14" max="14" width="16" bestFit="1" customWidth="1"/>
    <col min="15" max="15" width="19.42578125" bestFit="1" customWidth="1"/>
    <col min="16" max="16" width="15.85546875" bestFit="1" customWidth="1"/>
    <col min="17" max="17" width="10.140625" bestFit="1" customWidth="1"/>
    <col min="18" max="18" width="12.5703125" bestFit="1" customWidth="1"/>
    <col min="19" max="19" width="20.7109375" bestFit="1" customWidth="1"/>
    <col min="20" max="20" width="17.5703125" bestFit="1" customWidth="1"/>
    <col min="21" max="21" width="9.140625" bestFit="1" customWidth="1"/>
    <col min="22" max="22" width="22.7109375" bestFit="1" customWidth="1"/>
    <col min="23" max="23" width="18.42578125" bestFit="1" customWidth="1"/>
    <col min="24" max="25" width="18.85546875" bestFit="1" customWidth="1"/>
    <col min="26" max="26" width="22.7109375" bestFit="1" customWidth="1"/>
    <col min="27" max="27" width="30.85546875" bestFit="1" customWidth="1"/>
    <col min="28" max="28" width="27.5703125" bestFit="1" customWidth="1"/>
    <col min="29" max="29" width="17.5703125" bestFit="1" customWidth="1"/>
    <col min="30" max="30" width="32.7109375" bestFit="1" customWidth="1"/>
    <col min="31" max="31" width="28.42578125" bestFit="1" customWidth="1"/>
    <col min="32" max="32" width="28.85546875" bestFit="1" customWidth="1"/>
    <col min="33" max="33" width="28.42578125" bestFit="1" customWidth="1"/>
    <col min="34" max="34" width="15.85546875" bestFit="1" customWidth="1"/>
    <col min="35" max="35" width="38.5703125" bestFit="1" customWidth="1"/>
    <col min="36" max="36" width="26" bestFit="1" customWidth="1"/>
  </cols>
  <sheetData>
    <row r="1" spans="1:36" ht="15.75" thickBot="1" x14ac:dyDescent="0.3">
      <c r="A1" s="2" t="s">
        <v>265</v>
      </c>
      <c r="B1" s="2" t="s">
        <v>256</v>
      </c>
      <c r="C1" s="2" t="s">
        <v>266</v>
      </c>
      <c r="D1" s="2" t="s">
        <v>267</v>
      </c>
      <c r="E1" s="2" t="s">
        <v>268</v>
      </c>
      <c r="F1" s="2" t="s">
        <v>269</v>
      </c>
      <c r="G1" s="2" t="s">
        <v>117</v>
      </c>
      <c r="H1" s="2" t="s">
        <v>270</v>
      </c>
      <c r="I1" s="2" t="s">
        <v>271</v>
      </c>
      <c r="J1" s="2" t="s">
        <v>272</v>
      </c>
      <c r="K1" s="2" t="s">
        <v>273</v>
      </c>
      <c r="L1" s="2" t="s">
        <v>274</v>
      </c>
      <c r="M1" s="2" t="s">
        <v>275</v>
      </c>
      <c r="N1" s="2" t="s">
        <v>276</v>
      </c>
      <c r="O1" s="2" t="s">
        <v>277</v>
      </c>
      <c r="P1" s="2" t="s">
        <v>278</v>
      </c>
      <c r="Q1" s="2" t="s">
        <v>80</v>
      </c>
      <c r="R1" s="2" t="s">
        <v>279</v>
      </c>
      <c r="S1" s="2" t="s">
        <v>280</v>
      </c>
      <c r="T1" s="2" t="s">
        <v>83</v>
      </c>
      <c r="U1" s="2" t="s">
        <v>85</v>
      </c>
      <c r="V1" s="2" t="s">
        <v>709</v>
      </c>
      <c r="W1" s="2" t="s">
        <v>705</v>
      </c>
      <c r="X1" s="2" t="s">
        <v>706</v>
      </c>
      <c r="Y1" s="2" t="s">
        <v>281</v>
      </c>
      <c r="Z1" s="2" t="s">
        <v>282</v>
      </c>
      <c r="AA1" s="2" t="s">
        <v>283</v>
      </c>
      <c r="AB1" s="2" t="s">
        <v>284</v>
      </c>
      <c r="AC1" s="2" t="s">
        <v>285</v>
      </c>
      <c r="AD1" s="2" t="s">
        <v>710</v>
      </c>
      <c r="AE1" s="2" t="s">
        <v>707</v>
      </c>
      <c r="AF1" s="2" t="s">
        <v>708</v>
      </c>
      <c r="AG1" s="2" t="s">
        <v>701</v>
      </c>
      <c r="AH1" s="2" t="s">
        <v>699</v>
      </c>
      <c r="AI1" s="2" t="s">
        <v>702</v>
      </c>
      <c r="AJ1" s="2" t="s">
        <v>700</v>
      </c>
    </row>
    <row r="2" spans="1:36" x14ac:dyDescent="0.25">
      <c r="A2" s="5" t="s">
        <v>127</v>
      </c>
      <c r="B2" s="5" t="s">
        <v>1</v>
      </c>
      <c r="C2" s="6">
        <f>VLOOKUP($B2,'Netvolumenmål gns.'!$A:$S,COLUMN('Netvolumenmål gns.'!C:C),FALSE)</f>
        <v>37.760434500000002</v>
      </c>
      <c r="D2" s="7">
        <f>VLOOKUP($B2,'Netvolumenmål gns.'!$A:$S,COLUMN('Netvolumenmål gns.'!D:D),FALSE)</f>
        <v>2.7771084671024331E-2</v>
      </c>
      <c r="E2" s="8">
        <f>VLOOKUP($B2,'Netvolumenmål gns.'!$A:$S,COLUMN('Netvolumenmål gns.'!E:E),FALSE)</f>
        <v>6145195.0469825845</v>
      </c>
      <c r="F2" s="8">
        <f>VLOOKUP($B2,'Netvolumenmål gns.'!$A:$S,COLUMN('Netvolumenmål gns.'!F:F),FALSE)</f>
        <v>8791723.4793327041</v>
      </c>
      <c r="G2" s="8">
        <f>VLOOKUP($B2,'Netvolumenmål gns.'!$A:$S,COLUMN('Netvolumenmål gns.'!P:P),FALSE)</f>
        <v>4736003.4741000002</v>
      </c>
      <c r="H2" s="8">
        <f>VLOOKUP($B2,'Netvolumenmål gns.'!$A:$S,COLUMN('Netvolumenmål gns.'!Q:Q),FALSE)</f>
        <v>8890263.9102009162</v>
      </c>
      <c r="I2" s="8">
        <f>VLOOKUP($B2,'Netvolumenmål gns.'!$A:$S,COLUMN('Netvolumenmål gns.'!R:R),FALSE)</f>
        <v>13626267.384300917</v>
      </c>
      <c r="J2" s="6">
        <v>37.760434500000002</v>
      </c>
      <c r="K2" s="7">
        <v>2.7771084671024331E-2</v>
      </c>
      <c r="L2" s="8">
        <v>6145195.0469825845</v>
      </c>
      <c r="M2" s="8">
        <v>8791723.4793327041</v>
      </c>
      <c r="N2" s="8">
        <v>4736003.4741000002</v>
      </c>
      <c r="O2" s="8">
        <v>8890263.9102009162</v>
      </c>
      <c r="P2" s="8">
        <v>13626267.384300917</v>
      </c>
      <c r="Q2" s="8">
        <f>VLOOKUP($B2,'Costdrivere gns.'!$A:$H,COLUMN('Costdrivere gns.'!C:C),FALSE)</f>
        <v>667696.76</v>
      </c>
      <c r="R2" s="8">
        <f>VLOOKUP($B2,'Costdrivere gns.'!$A:$H,COLUMN('Costdrivere gns.'!D:D),FALSE)</f>
        <v>1993844.665</v>
      </c>
      <c r="S2" s="8">
        <f>VLOOKUP($B2,'Costdrivere gns.'!$A:$H,COLUMN('Costdrivere gns.'!E:E),FALSE)</f>
        <v>539225.99</v>
      </c>
      <c r="T2" s="8">
        <f>VLOOKUP($B2,'Costdrivere gns.'!$A:$H,COLUMN('Costdrivere gns.'!F:F),FALSE)</f>
        <v>1921930.22</v>
      </c>
      <c r="U2" s="8">
        <f>VLOOKUP($B2,'Costdrivere gns.'!$A:$H,COLUMN('Costdrivere gns.'!G:G),FALSE)</f>
        <v>1022497.405</v>
      </c>
      <c r="V2" s="8">
        <f>VLOOKUP(B2,'Costdrivere gns.'!$A$3:$H$77,COLUMN('Costdrivere gns.'!$H$2))</f>
        <v>1446330.04</v>
      </c>
      <c r="W2" s="8">
        <f>AVERAGE(VLOOKUP(B2,'Costdrivere 2024'!$A$3:$AC$77,COLUMN('Costdrivere 2024'!$AC$2),FALSE),VLOOKUP(B2,'Costdrivere 2025'!$A$3:$AC$77,COLUMN('Costdrivere 2025'!$AC$2),FALSE))</f>
        <v>1901526.3828292487</v>
      </c>
      <c r="X2" s="8">
        <f>AVERAGE(VLOOKUP(B2,'Costdrivere 2024'!$A$3:$AD$77,COLUMN('Costdrivere 2024'!$AD$2),FALSE),VLOOKUP(B2,'Costdrivere 2025'!$A$3:$AD$77,COLUMN('Costdrivere 2025'!$AD$2),FALSE))</f>
        <v>6630197.0965034561</v>
      </c>
      <c r="Y2" s="8">
        <v>667696.76</v>
      </c>
      <c r="Z2" s="8">
        <v>1993844.665</v>
      </c>
      <c r="AA2" s="8">
        <v>539225.99</v>
      </c>
      <c r="AB2" s="8">
        <v>1921930.22</v>
      </c>
      <c r="AC2" s="8">
        <v>1022497.405</v>
      </c>
      <c r="AD2" s="8">
        <v>1446330.04</v>
      </c>
      <c r="AE2" s="8">
        <v>1901526.3828292487</v>
      </c>
      <c r="AF2" s="8">
        <v>6630197.0965034561</v>
      </c>
      <c r="AG2" s="8">
        <f>AVERAGE(VLOOKUP(B2,'Costdrivere 2024'!$A$3:$X$77,COLUMN('Costdrivere 2024'!X:X)),VLOOKUP(B2,'Costdrivere 2025'!$A$3:$X$77,COLUMN('Costdrivere 2025'!X:X)))</f>
        <v>1279856.5</v>
      </c>
      <c r="AH2" s="8">
        <f>AVERAGE(VLOOKUP(B2,'Costdrivere 2024'!$A$3:$Y$77,COLUMN('Costdrivere 2024'!Y:Y)),VLOOKUP(B2,'Costdrivere 2025'!$A$3:$Y$77,COLUMN('Costdrivere 2025'!Y:Y)))</f>
        <v>1383988.5</v>
      </c>
      <c r="AI2" s="8">
        <v>1279856.5</v>
      </c>
      <c r="AJ2" s="8">
        <v>1383988.5</v>
      </c>
    </row>
    <row r="3" spans="1:36" x14ac:dyDescent="0.25">
      <c r="A3" s="5" t="s">
        <v>166</v>
      </c>
      <c r="B3" s="5" t="s">
        <v>2</v>
      </c>
      <c r="C3" s="6">
        <f>VLOOKUP($B3,'Netvolumenmål gns.'!$A:$S,COLUMN('Netvolumenmål gns.'!C:C),FALSE)</f>
        <v>40.842275000000001</v>
      </c>
      <c r="D3" s="7">
        <f>VLOOKUP($B3,'Netvolumenmål gns.'!$A:$S,COLUMN('Netvolumenmål gns.'!D:D),FALSE)</f>
        <v>7.556394603365521E-2</v>
      </c>
      <c r="E3" s="8">
        <f>VLOOKUP($B3,'Netvolumenmål gns.'!$A:$S,COLUMN('Netvolumenmål gns.'!E:E),FALSE)</f>
        <v>4972755.9645995926</v>
      </c>
      <c r="F3" s="8">
        <f>VLOOKUP($B3,'Netvolumenmål gns.'!$A:$S,COLUMN('Netvolumenmål gns.'!F:F),FALSE)</f>
        <v>6482563.554549519</v>
      </c>
      <c r="G3" s="8">
        <f>VLOOKUP($B3,'Netvolumenmål gns.'!$A:$S,COLUMN('Netvolumenmål gns.'!P:P),FALSE)</f>
        <v>9029796.1900999993</v>
      </c>
      <c r="H3" s="8">
        <f>VLOOKUP($B3,'Netvolumenmål gns.'!$A:$S,COLUMN('Netvolumenmål gns.'!Q:Q),FALSE)</f>
        <v>7067748.8134409441</v>
      </c>
      <c r="I3" s="8">
        <f>VLOOKUP($B3,'Netvolumenmål gns.'!$A:$S,COLUMN('Netvolumenmål gns.'!R:R),FALSE)</f>
        <v>16097545.003540944</v>
      </c>
      <c r="J3" s="6">
        <v>40.842275000000001</v>
      </c>
      <c r="K3" s="7">
        <v>7.556394603365521E-2</v>
      </c>
      <c r="L3" s="8">
        <v>4972755.9645995926</v>
      </c>
      <c r="M3" s="8">
        <v>6482563.554549519</v>
      </c>
      <c r="N3" s="8">
        <v>9029796.1900999993</v>
      </c>
      <c r="O3" s="8">
        <v>7067748.8134409441</v>
      </c>
      <c r="P3" s="8">
        <v>16097545.003540944</v>
      </c>
      <c r="Q3" s="8">
        <f>VLOOKUP($B3,'Costdrivere gns.'!$A:$H,COLUMN('Costdrivere gns.'!C:C),FALSE)</f>
        <v>577802.35499999998</v>
      </c>
      <c r="R3" s="8">
        <f>VLOOKUP($B3,'Costdrivere gns.'!$A:$H,COLUMN('Costdrivere gns.'!D:D),FALSE)</f>
        <v>2458883.4300000002</v>
      </c>
      <c r="S3" s="8">
        <f>VLOOKUP($B3,'Costdrivere gns.'!$A:$H,COLUMN('Costdrivere gns.'!E:E),FALSE)</f>
        <v>147753.35</v>
      </c>
      <c r="T3" s="8">
        <f>VLOOKUP($B3,'Costdrivere gns.'!$A:$H,COLUMN('Costdrivere gns.'!F:F),FALSE)</f>
        <v>956368.26</v>
      </c>
      <c r="U3" s="8">
        <f>VLOOKUP($B3,'Costdrivere gns.'!$A:$H,COLUMN('Costdrivere gns.'!G:G),FALSE)</f>
        <v>831948.56</v>
      </c>
      <c r="V3" s="8">
        <f>VLOOKUP(B3,'Costdrivere gns.'!$A$3:$H$77,COLUMN('Costdrivere gns.'!$H$2))</f>
        <v>1302773.23</v>
      </c>
      <c r="W3" s="8">
        <f>AVERAGE(VLOOKUP(B3,'Costdrivere 2024'!$A$3:$AC$77,COLUMN('Costdrivere 2024'!$AC$2),FALSE),VLOOKUP(B3,'Costdrivere 2025'!$A$3:$AC$77,COLUMN('Costdrivere 2025'!$AC$2),FALSE))</f>
        <v>1373850.8201574748</v>
      </c>
      <c r="X3" s="8">
        <f>AVERAGE(VLOOKUP(B3,'Costdrivere 2024'!$A$3:$AD$77,COLUMN('Costdrivere 2024'!$AD$2),FALSE),VLOOKUP(B3,'Costdrivere 2025'!$A$3:$AD$77,COLUMN('Costdrivere 2025'!$AD$2),FALSE))</f>
        <v>4688388.0222639125</v>
      </c>
      <c r="Y3" s="8">
        <v>577802.35499999998</v>
      </c>
      <c r="Z3" s="8">
        <v>2458883.4300000002</v>
      </c>
      <c r="AA3" s="8">
        <v>147753.35</v>
      </c>
      <c r="AB3" s="8">
        <v>956368.26</v>
      </c>
      <c r="AC3" s="8">
        <v>831948.56</v>
      </c>
      <c r="AD3" s="8">
        <v>1302773.23</v>
      </c>
      <c r="AE3" s="8">
        <v>1373850.8201574748</v>
      </c>
      <c r="AF3" s="8">
        <v>4688388.0222639125</v>
      </c>
      <c r="AG3" s="8">
        <f>AVERAGE(VLOOKUP(B3,'Costdrivere 2024'!$A$3:$X$77,COLUMN('Costdrivere 2024'!X:X)),VLOOKUP(B3,'Costdrivere 2025'!$A$3:$X$77,COLUMN('Costdrivere 2025'!X:X)))</f>
        <v>1071977</v>
      </c>
      <c r="AH3" s="8">
        <f>AVERAGE(VLOOKUP(B3,'Costdrivere 2024'!$A$3:$Y$77,COLUMN('Costdrivere 2024'!Y:Y)),VLOOKUP(B3,'Costdrivere 2025'!$A$3:$Y$77,COLUMN('Costdrivere 2025'!Y:Y)))</f>
        <v>1137175.5</v>
      </c>
      <c r="AI3" s="8">
        <v>1071977</v>
      </c>
      <c r="AJ3" s="8">
        <v>1137175.5</v>
      </c>
    </row>
    <row r="4" spans="1:36" x14ac:dyDescent="0.25">
      <c r="A4" s="5" t="s">
        <v>167</v>
      </c>
      <c r="B4" s="5" t="s">
        <v>3</v>
      </c>
      <c r="C4" s="6">
        <f>VLOOKUP($B4,'Netvolumenmål gns.'!$A:$S,COLUMN('Netvolumenmål gns.'!C:C),FALSE)</f>
        <v>39.959569000000002</v>
      </c>
      <c r="D4" s="7">
        <f>VLOOKUP($B4,'Netvolumenmål gns.'!$A:$S,COLUMN('Netvolumenmål gns.'!D:D),FALSE)</f>
        <v>2.5588049621031617E-2</v>
      </c>
      <c r="E4" s="8">
        <f>VLOOKUP($B4,'Netvolumenmål gns.'!$A:$S,COLUMN('Netvolumenmål gns.'!E:E),FALSE)</f>
        <v>6653995.9150139336</v>
      </c>
      <c r="F4" s="8">
        <f>VLOOKUP($B4,'Netvolumenmål gns.'!$A:$S,COLUMN('Netvolumenmål gns.'!F:F),FALSE)</f>
        <v>17603501.506379791</v>
      </c>
      <c r="G4" s="8">
        <f>VLOOKUP($B4,'Netvolumenmål gns.'!$A:$S,COLUMN('Netvolumenmål gns.'!P:P),FALSE)</f>
        <v>15162314.907400001</v>
      </c>
      <c r="H4" s="8">
        <f>VLOOKUP($B4,'Netvolumenmål gns.'!$A:$S,COLUMN('Netvolumenmål gns.'!Q:Q),FALSE)</f>
        <v>14619790.100208249</v>
      </c>
      <c r="I4" s="8">
        <f>VLOOKUP($B4,'Netvolumenmål gns.'!$A:$S,COLUMN('Netvolumenmål gns.'!R:R),FALSE)</f>
        <v>29782105.00760825</v>
      </c>
      <c r="J4" s="6">
        <v>39.959569000000002</v>
      </c>
      <c r="K4" s="7">
        <v>2.5588049621031617E-2</v>
      </c>
      <c r="L4" s="8">
        <v>6653995.9150139336</v>
      </c>
      <c r="M4" s="8">
        <v>17603501.506379791</v>
      </c>
      <c r="N4" s="8">
        <v>15162314.907400001</v>
      </c>
      <c r="O4" s="8">
        <v>14619790.100208249</v>
      </c>
      <c r="P4" s="8">
        <v>29782105.00760825</v>
      </c>
      <c r="Q4" s="8">
        <f>VLOOKUP($B4,'Costdrivere gns.'!$A:$H,COLUMN('Costdrivere gns.'!C:C),FALSE)</f>
        <v>729768.17</v>
      </c>
      <c r="R4" s="8">
        <f>VLOOKUP($B4,'Costdrivere gns.'!$A:$H,COLUMN('Costdrivere gns.'!D:D),FALSE)</f>
        <v>1944660.67</v>
      </c>
      <c r="S4" s="8">
        <f>VLOOKUP($B4,'Costdrivere gns.'!$A:$H,COLUMN('Costdrivere gns.'!E:E),FALSE)</f>
        <v>509586.95</v>
      </c>
      <c r="T4" s="8">
        <f>VLOOKUP($B4,'Costdrivere gns.'!$A:$H,COLUMN('Costdrivere gns.'!F:F),FALSE)</f>
        <v>1998873.19</v>
      </c>
      <c r="U4" s="8">
        <f>VLOOKUP($B4,'Costdrivere gns.'!$A:$H,COLUMN('Costdrivere gns.'!G:G),FALSE)</f>
        <v>1471106.9350000001</v>
      </c>
      <c r="V4" s="8">
        <f>VLOOKUP(B4,'Costdrivere gns.'!$A$3:$H$77,COLUMN('Costdrivere gns.'!$H$2))</f>
        <v>1466304.4</v>
      </c>
      <c r="W4" s="8">
        <f>AVERAGE(VLOOKUP(B4,'Costdrivere 2024'!$A$3:$AC$77,COLUMN('Costdrivere 2024'!$AC$2),FALSE),VLOOKUP(B4,'Costdrivere 2025'!$A$3:$AC$77,COLUMN('Costdrivere 2025'!$AC$2),FALSE))</f>
        <v>3219445.5366667202</v>
      </c>
      <c r="X4" s="8">
        <f>AVERAGE(VLOOKUP(B4,'Costdrivere 2024'!$A$3:$AD$77,COLUMN('Costdrivere 2024'!$AD$2),FALSE),VLOOKUP(B4,'Costdrivere 2025'!$A$3:$AD$77,COLUMN('Costdrivere 2025'!$AD$2),FALSE))</f>
        <v>13953747.642789997</v>
      </c>
      <c r="Y4" s="8">
        <v>729768.17</v>
      </c>
      <c r="Z4" s="8">
        <v>1944660.67</v>
      </c>
      <c r="AA4" s="8">
        <v>509586.95</v>
      </c>
      <c r="AB4" s="8">
        <v>1998873.19</v>
      </c>
      <c r="AC4" s="8">
        <v>1471106.9350000001</v>
      </c>
      <c r="AD4" s="8">
        <v>1466304.4</v>
      </c>
      <c r="AE4" s="8">
        <v>3219445.5366667202</v>
      </c>
      <c r="AF4" s="8">
        <v>13953747.642789997</v>
      </c>
      <c r="AG4" s="8">
        <f>AVERAGE(VLOOKUP(B4,'Costdrivere 2024'!$A$3:$X$77,COLUMN('Costdrivere 2024'!X:X)),VLOOKUP(B4,'Costdrivere 2025'!$A$3:$X$77,COLUMN('Costdrivere 2025'!X:X)))</f>
        <v>1219996</v>
      </c>
      <c r="AH4" s="8">
        <f>AVERAGE(VLOOKUP(B4,'Costdrivere 2024'!$A$3:$Y$77,COLUMN('Costdrivere 2024'!Y:Y)),VLOOKUP(B4,'Costdrivere 2025'!$A$3:$Y$77,COLUMN('Costdrivere 2025'!Y:Y)))</f>
        <v>1344150.5</v>
      </c>
      <c r="AI4" s="8">
        <v>1219996</v>
      </c>
      <c r="AJ4" s="8">
        <v>1344150.5</v>
      </c>
    </row>
    <row r="5" spans="1:36" x14ac:dyDescent="0.25">
      <c r="A5" s="5" t="s">
        <v>128</v>
      </c>
      <c r="B5" s="5" t="s">
        <v>114</v>
      </c>
      <c r="C5" s="6">
        <f>VLOOKUP($B5,'Netvolumenmål gns.'!$A:$S,COLUMN('Netvolumenmål gns.'!C:C),FALSE)</f>
        <v>40.022379999999998</v>
      </c>
      <c r="D5" s="7">
        <f>VLOOKUP($B5,'Netvolumenmål gns.'!$A:$S,COLUMN('Netvolumenmål gns.'!D:D),FALSE)</f>
        <v>1.8723267104780596E-2</v>
      </c>
      <c r="E5" s="8">
        <f>VLOOKUP($B5,'Netvolumenmål gns.'!$A:$S,COLUMN('Netvolumenmål gns.'!E:E),FALSE)</f>
        <v>3652412.4065506458</v>
      </c>
      <c r="F5" s="8">
        <f>VLOOKUP($B5,'Netvolumenmål gns.'!$A:$S,COLUMN('Netvolumenmål gns.'!F:F),FALSE)</f>
        <v>5130664.8557332549</v>
      </c>
      <c r="G5" s="8">
        <f>VLOOKUP($B5,'Netvolumenmål gns.'!$A:$S,COLUMN('Netvolumenmål gns.'!P:P),FALSE)</f>
        <v>5093448.5482999999</v>
      </c>
      <c r="H5" s="8">
        <f>VLOOKUP($B5,'Netvolumenmål gns.'!$A:$S,COLUMN('Netvolumenmål gns.'!Q:Q),FALSE)</f>
        <v>4235633.9793004785</v>
      </c>
      <c r="I5" s="8">
        <f>VLOOKUP($B5,'Netvolumenmål gns.'!$A:$S,COLUMN('Netvolumenmål gns.'!R:R),FALSE)</f>
        <v>9329082.5276004784</v>
      </c>
      <c r="J5" s="6">
        <v>40.022379999999998</v>
      </c>
      <c r="K5" s="7">
        <v>1.8723267104780596E-2</v>
      </c>
      <c r="L5" s="8">
        <v>3652412.4065506458</v>
      </c>
      <c r="M5" s="8">
        <v>5130664.8557332549</v>
      </c>
      <c r="N5" s="8">
        <v>5093448.5482999999</v>
      </c>
      <c r="O5" s="8">
        <v>4235633.9793004785</v>
      </c>
      <c r="P5" s="8">
        <v>9329082.5276004784</v>
      </c>
      <c r="Q5" s="8">
        <f>VLOOKUP($B5,'Costdrivere gns.'!$A:$H,COLUMN('Costdrivere gns.'!C:C),FALSE)</f>
        <v>531505.43000000005</v>
      </c>
      <c r="R5" s="8">
        <f>VLOOKUP($B5,'Costdrivere gns.'!$A:$H,COLUMN('Costdrivere gns.'!D:D),FALSE)</f>
        <v>1536275.36</v>
      </c>
      <c r="S5" s="8">
        <f>VLOOKUP($B5,'Costdrivere gns.'!$A:$H,COLUMN('Costdrivere gns.'!E:E),FALSE)</f>
        <v>132676.95000000001</v>
      </c>
      <c r="T5" s="8">
        <f>VLOOKUP($B5,'Costdrivere gns.'!$A:$H,COLUMN('Costdrivere gns.'!F:F),FALSE)</f>
        <v>1004489.645</v>
      </c>
      <c r="U5" s="8">
        <f>VLOOKUP($B5,'Costdrivere gns.'!$A:$H,COLUMN('Costdrivere gns.'!G:G),FALSE)</f>
        <v>447465.02</v>
      </c>
      <c r="V5" s="8">
        <f>VLOOKUP(B5,'Costdrivere gns.'!$A$3:$H$77,COLUMN('Costdrivere gns.'!$H$2))</f>
        <v>1178376.9099999999</v>
      </c>
      <c r="W5" s="8">
        <f>AVERAGE(VLOOKUP(B5,'Costdrivere 2024'!$A$3:$AC$77,COLUMN('Costdrivere 2024'!$AC$2),FALSE),VLOOKUP(B5,'Costdrivere 2025'!$A$3:$AC$77,COLUMN('Costdrivere 2025'!$AC$2),FALSE))</f>
        <v>1192137.1202665879</v>
      </c>
      <c r="X5" s="8">
        <f>AVERAGE(VLOOKUP(B5,'Costdrivere 2024'!$A$3:$AD$77,COLUMN('Costdrivere 2024'!$AD$2),FALSE),VLOOKUP(B5,'Costdrivere 2025'!$A$3:$AD$77,COLUMN('Costdrivere 2025'!$AD$2),FALSE))</f>
        <v>3807027.7354666665</v>
      </c>
      <c r="Y5" s="8">
        <v>531505.43000000005</v>
      </c>
      <c r="Z5" s="8">
        <v>1536275.36</v>
      </c>
      <c r="AA5" s="8">
        <v>132676.95000000001</v>
      </c>
      <c r="AB5" s="8">
        <v>1004489.645</v>
      </c>
      <c r="AC5" s="8">
        <v>447465.02</v>
      </c>
      <c r="AD5" s="8">
        <v>1178376.9099999999</v>
      </c>
      <c r="AE5" s="8">
        <v>1192137.1202665879</v>
      </c>
      <c r="AF5" s="8">
        <v>3807027.7354666665</v>
      </c>
      <c r="AG5" s="8">
        <f>AVERAGE(VLOOKUP(B5,'Costdrivere 2024'!$A$3:$X$77,COLUMN('Costdrivere 2024'!X:X)),VLOOKUP(B5,'Costdrivere 2025'!$A$3:$X$77,COLUMN('Costdrivere 2025'!X:X)))</f>
        <v>959178.5</v>
      </c>
      <c r="AH5" s="8">
        <f>AVERAGE(VLOOKUP(B5,'Costdrivere 2024'!$A$3:$Y$77,COLUMN('Costdrivere 2024'!Y:Y)),VLOOKUP(B5,'Costdrivere 2025'!$A$3:$Y$77,COLUMN('Costdrivere 2025'!Y:Y)))</f>
        <v>1013367</v>
      </c>
      <c r="AI5" s="8">
        <v>959178.5</v>
      </c>
      <c r="AJ5" s="8">
        <v>1013367</v>
      </c>
    </row>
    <row r="6" spans="1:36" x14ac:dyDescent="0.25">
      <c r="A6" s="5" t="s">
        <v>168</v>
      </c>
      <c r="B6" s="5" t="s">
        <v>4</v>
      </c>
      <c r="C6" s="6">
        <f>VLOOKUP($B6,'Netvolumenmål gns.'!$A:$S,COLUMN('Netvolumenmål gns.'!C:C),FALSE)</f>
        <v>33.936411</v>
      </c>
      <c r="D6" s="7">
        <f>VLOOKUP($B6,'Netvolumenmål gns.'!$A:$S,COLUMN('Netvolumenmål gns.'!D:D),FALSE)</f>
        <v>1.8472853381931012E-2</v>
      </c>
      <c r="E6" s="8">
        <f>VLOOKUP($B6,'Netvolumenmål gns.'!$A:$S,COLUMN('Netvolumenmål gns.'!E:E),FALSE)</f>
        <v>5284279.5572739635</v>
      </c>
      <c r="F6" s="8">
        <f>VLOOKUP($B6,'Netvolumenmål gns.'!$A:$S,COLUMN('Netvolumenmål gns.'!F:F),FALSE)</f>
        <v>10456395.580153003</v>
      </c>
      <c r="G6" s="8">
        <f>VLOOKUP($B6,'Netvolumenmål gns.'!$A:$S,COLUMN('Netvolumenmål gns.'!P:P),FALSE)</f>
        <v>6551692.40625</v>
      </c>
      <c r="H6" s="8">
        <f>VLOOKUP($B6,'Netvolumenmål gns.'!$A:$S,COLUMN('Netvolumenmål gns.'!Q:Q),FALSE)</f>
        <v>8502691.5573652014</v>
      </c>
      <c r="I6" s="8">
        <f>VLOOKUP($B6,'Netvolumenmål gns.'!$A:$S,COLUMN('Netvolumenmål gns.'!R:R),FALSE)</f>
        <v>15054383.9636152</v>
      </c>
      <c r="J6" s="6">
        <v>33.936411</v>
      </c>
      <c r="K6" s="7">
        <v>1.8472853381931012E-2</v>
      </c>
      <c r="L6" s="8">
        <v>5284279.5572739635</v>
      </c>
      <c r="M6" s="8">
        <v>10456395.580153003</v>
      </c>
      <c r="N6" s="8">
        <v>6551692.40625</v>
      </c>
      <c r="O6" s="8">
        <v>8502691.5573652014</v>
      </c>
      <c r="P6" s="8">
        <v>15054383.9636152</v>
      </c>
      <c r="Q6" s="8">
        <f>VLOOKUP($B6,'Costdrivere gns.'!$A:$H,COLUMN('Costdrivere gns.'!C:C),FALSE)</f>
        <v>463043.77</v>
      </c>
      <c r="R6" s="8">
        <f>VLOOKUP($B6,'Costdrivere gns.'!$A:$H,COLUMN('Costdrivere gns.'!D:D),FALSE)</f>
        <v>1379010.16</v>
      </c>
      <c r="S6" s="8">
        <f>VLOOKUP($B6,'Costdrivere gns.'!$A:$H,COLUMN('Costdrivere gns.'!E:E),FALSE)</f>
        <v>232984.75</v>
      </c>
      <c r="T6" s="8">
        <f>VLOOKUP($B6,'Costdrivere gns.'!$A:$H,COLUMN('Costdrivere gns.'!F:F),FALSE)</f>
        <v>2290680.0049999999</v>
      </c>
      <c r="U6" s="8">
        <f>VLOOKUP($B6,'Costdrivere gns.'!$A:$H,COLUMN('Costdrivere gns.'!G:G),FALSE)</f>
        <v>918560.87</v>
      </c>
      <c r="V6" s="8">
        <f>VLOOKUP(B6,'Costdrivere gns.'!$A$3:$H$77,COLUMN('Costdrivere gns.'!$H$2))</f>
        <v>1065542.49</v>
      </c>
      <c r="W6" s="8">
        <f>AVERAGE(VLOOKUP(B6,'Costdrivere 2024'!$A$3:$AC$77,COLUMN('Costdrivere 2024'!$AC$2),FALSE),VLOOKUP(B6,'Costdrivere 2025'!$A$3:$AC$77,COLUMN('Costdrivere 2025'!$AC$2),FALSE))</f>
        <v>1741292.3858363368</v>
      </c>
      <c r="X6" s="8">
        <f>AVERAGE(VLOOKUP(B6,'Costdrivere 2024'!$A$3:$AD$77,COLUMN('Costdrivere 2024'!$AD$2),FALSE),VLOOKUP(B6,'Costdrivere 2025'!$A$3:$AD$77,COLUMN('Costdrivere 2025'!$AD$2),FALSE))</f>
        <v>8063103.1943166666</v>
      </c>
      <c r="Y6" s="8">
        <v>463043.77</v>
      </c>
      <c r="Z6" s="8">
        <v>1379010.16</v>
      </c>
      <c r="AA6" s="8">
        <v>232984.75</v>
      </c>
      <c r="AB6" s="8">
        <v>2290680.0049999999</v>
      </c>
      <c r="AC6" s="8">
        <v>918560.87</v>
      </c>
      <c r="AD6" s="8">
        <v>1065542.49</v>
      </c>
      <c r="AE6" s="8">
        <v>1741292.3858363368</v>
      </c>
      <c r="AF6" s="8">
        <v>8063103.1943166666</v>
      </c>
      <c r="AG6" s="8">
        <f>AVERAGE(VLOOKUP(B6,'Costdrivere 2024'!$A$3:$X$77,COLUMN('Costdrivere 2024'!X:X)),VLOOKUP(B6,'Costdrivere 2025'!$A$3:$X$77,COLUMN('Costdrivere 2025'!X:X)))</f>
        <v>856963.5</v>
      </c>
      <c r="AH6" s="8">
        <f>AVERAGE(VLOOKUP(B6,'Costdrivere 2024'!$A$3:$Y$77,COLUMN('Costdrivere 2024'!Y:Y)),VLOOKUP(B6,'Costdrivere 2025'!$A$3:$Y$77,COLUMN('Costdrivere 2025'!Y:Y)))</f>
        <v>885985.5</v>
      </c>
      <c r="AI6" s="8">
        <v>856963.5</v>
      </c>
      <c r="AJ6" s="8">
        <v>885985.5</v>
      </c>
    </row>
    <row r="7" spans="1:36" x14ac:dyDescent="0.25">
      <c r="A7" s="5" t="s">
        <v>6</v>
      </c>
      <c r="B7" s="5" t="s">
        <v>7</v>
      </c>
      <c r="C7" s="6">
        <f>VLOOKUP($B7,'Netvolumenmål gns.'!$A:$S,COLUMN('Netvolumenmål gns.'!C:C),FALSE)</f>
        <v>33.1674845</v>
      </c>
      <c r="D7" s="7">
        <f>VLOOKUP($B7,'Netvolumenmål gns.'!$A:$S,COLUMN('Netvolumenmål gns.'!D:D),FALSE)</f>
        <v>5.1249551866126584E-2</v>
      </c>
      <c r="E7" s="8">
        <f>VLOOKUP($B7,'Netvolumenmål gns.'!$A:$S,COLUMN('Netvolumenmål gns.'!E:E),FALSE)</f>
        <v>27956568.731804676</v>
      </c>
      <c r="F7" s="8">
        <f>VLOOKUP($B7,'Netvolumenmål gns.'!$A:$S,COLUMN('Netvolumenmål gns.'!F:F),FALSE)</f>
        <v>61351791.519375682</v>
      </c>
      <c r="G7" s="8">
        <f>VLOOKUP($B7,'Netvolumenmål gns.'!$A:$S,COLUMN('Netvolumenmål gns.'!P:P),FALSE)</f>
        <v>49364929.859899998</v>
      </c>
      <c r="H7" s="8">
        <f>VLOOKUP($B7,'Netvolumenmål gns.'!$A:$S,COLUMN('Netvolumenmål gns.'!Q:Q),FALSE)</f>
        <v>68161058.495111004</v>
      </c>
      <c r="I7" s="8">
        <f>VLOOKUP($B7,'Netvolumenmål gns.'!$A:$S,COLUMN('Netvolumenmål gns.'!R:R),FALSE)</f>
        <v>117525988.355011</v>
      </c>
      <c r="J7" s="6">
        <v>33.1674845</v>
      </c>
      <c r="K7" s="7">
        <v>5.1249551866126584E-2</v>
      </c>
      <c r="L7" s="8">
        <v>27956568.731804676</v>
      </c>
      <c r="M7" s="8">
        <v>61351791.519375682</v>
      </c>
      <c r="N7" s="8">
        <v>49364929.859899998</v>
      </c>
      <c r="O7" s="8">
        <v>68161058.495111004</v>
      </c>
      <c r="P7" s="8">
        <v>117525988.355011</v>
      </c>
      <c r="Q7" s="8">
        <f>VLOOKUP($B7,'Costdrivere gns.'!$A:$H,COLUMN('Costdrivere gns.'!C:C),FALSE)</f>
        <v>3530775.33</v>
      </c>
      <c r="R7" s="8">
        <f>VLOOKUP($B7,'Costdrivere gns.'!$A:$H,COLUMN('Costdrivere gns.'!D:D),FALSE)</f>
        <v>11395084.935000001</v>
      </c>
      <c r="S7" s="8">
        <f>VLOOKUP($B7,'Costdrivere gns.'!$A:$H,COLUMN('Costdrivere gns.'!E:E),FALSE)</f>
        <v>420286.23</v>
      </c>
      <c r="T7" s="8">
        <f>VLOOKUP($B7,'Costdrivere gns.'!$A:$H,COLUMN('Costdrivere gns.'!F:F),FALSE)</f>
        <v>8133299.2699999996</v>
      </c>
      <c r="U7" s="8">
        <f>VLOOKUP($B7,'Costdrivere gns.'!$A:$H,COLUMN('Costdrivere gns.'!G:G),FALSE)</f>
        <v>4477122.9649999999</v>
      </c>
      <c r="V7" s="8">
        <f>VLOOKUP(B7,'Costdrivere gns.'!$A$3:$H$77,COLUMN('Costdrivere gns.'!$H$2))</f>
        <v>7881989.4850000003</v>
      </c>
      <c r="W7" s="8">
        <f>AVERAGE(VLOOKUP(B7,'Costdrivere 2024'!$A$3:$AC$77,COLUMN('Costdrivere 2024'!$AC$2),FALSE),VLOOKUP(B7,'Costdrivere 2025'!$A$3:$AC$77,COLUMN('Costdrivere 2025'!$AC$2),FALSE))</f>
        <v>18393124.42952659</v>
      </c>
      <c r="X7" s="8">
        <f>AVERAGE(VLOOKUP(B7,'Costdrivere 2024'!$A$3:$AD$77,COLUMN('Costdrivere 2024'!$AD$2),FALSE),VLOOKUP(B7,'Costdrivere 2025'!$A$3:$AD$77,COLUMN('Costdrivere 2025'!$AD$2),FALSE))</f>
        <v>40363475.665211752</v>
      </c>
      <c r="Y7" s="8">
        <v>3530775.33</v>
      </c>
      <c r="Z7" s="8">
        <v>11395084.935000001</v>
      </c>
      <c r="AA7" s="8">
        <v>420286.23</v>
      </c>
      <c r="AB7" s="8">
        <v>8133299.2699999996</v>
      </c>
      <c r="AC7" s="8">
        <v>4477122.9649999999</v>
      </c>
      <c r="AD7" s="8">
        <v>7881989.4850000003</v>
      </c>
      <c r="AE7" s="8">
        <v>18393124.42952659</v>
      </c>
      <c r="AF7" s="8">
        <v>40363475.665211752</v>
      </c>
      <c r="AG7" s="8">
        <f>AVERAGE(VLOOKUP(B7,'Costdrivere 2024'!$A$3:$X$77,COLUMN('Costdrivere 2024'!X:X)),VLOOKUP(B7,'Costdrivere 2025'!$A$3:$X$77,COLUMN('Costdrivere 2025'!X:X)))</f>
        <v>7953481.5</v>
      </c>
      <c r="AH7" s="8">
        <f>AVERAGE(VLOOKUP(B7,'Costdrivere 2024'!$A$3:$Y$77,COLUMN('Costdrivere 2024'!Y:Y)),VLOOKUP(B7,'Costdrivere 2025'!$A$3:$Y$77,COLUMN('Costdrivere 2025'!Y:Y)))</f>
        <v>8145945.5</v>
      </c>
      <c r="AI7" s="8">
        <v>7953481.5</v>
      </c>
      <c r="AJ7" s="8">
        <v>8145945.5</v>
      </c>
    </row>
    <row r="8" spans="1:36" x14ac:dyDescent="0.25">
      <c r="A8" s="5" t="s">
        <v>169</v>
      </c>
      <c r="B8" s="5" t="s">
        <v>5</v>
      </c>
      <c r="C8" s="6">
        <f>VLOOKUP($B8,'Netvolumenmål gns.'!$A:$S,COLUMN('Netvolumenmål gns.'!C:C),FALSE)</f>
        <v>36.834553</v>
      </c>
      <c r="D8" s="7">
        <f>VLOOKUP($B8,'Netvolumenmål gns.'!$A:$S,COLUMN('Netvolumenmål gns.'!D:D),FALSE)</f>
        <v>5.2193777063114177E-2</v>
      </c>
      <c r="E8" s="8">
        <f>VLOOKUP($B8,'Netvolumenmål gns.'!$A:$S,COLUMN('Netvolumenmål gns.'!E:E),FALSE)</f>
        <v>13936038.098258283</v>
      </c>
      <c r="F8" s="8">
        <f>VLOOKUP($B8,'Netvolumenmål gns.'!$A:$S,COLUMN('Netvolumenmål gns.'!F:F),FALSE)</f>
        <v>20352953.533323668</v>
      </c>
      <c r="G8" s="8">
        <f>VLOOKUP($B8,'Netvolumenmål gns.'!$A:$S,COLUMN('Netvolumenmål gns.'!P:P),FALSE)</f>
        <v>13728340.210999999</v>
      </c>
      <c r="H8" s="8">
        <f>VLOOKUP($B8,'Netvolumenmål gns.'!$A:$S,COLUMN('Netvolumenmål gns.'!Q:Q),FALSE)</f>
        <v>21088706.750116255</v>
      </c>
      <c r="I8" s="8">
        <f>VLOOKUP($B8,'Netvolumenmål gns.'!$A:$S,COLUMN('Netvolumenmål gns.'!R:R),FALSE)</f>
        <v>34817046.961116254</v>
      </c>
      <c r="J8" s="6">
        <v>36.834553</v>
      </c>
      <c r="K8" s="7">
        <v>5.2193777063114177E-2</v>
      </c>
      <c r="L8" s="8">
        <v>13936038.098258283</v>
      </c>
      <c r="M8" s="8">
        <v>20352953.533323668</v>
      </c>
      <c r="N8" s="8">
        <v>13728340.210999999</v>
      </c>
      <c r="O8" s="8">
        <v>21088706.750116255</v>
      </c>
      <c r="P8" s="8">
        <v>34817046.961116254</v>
      </c>
      <c r="Q8" s="8">
        <f>VLOOKUP($B8,'Costdrivere gns.'!$A:$H,COLUMN('Costdrivere gns.'!C:C),FALSE)</f>
        <v>1206073.415</v>
      </c>
      <c r="R8" s="8">
        <f>VLOOKUP($B8,'Costdrivere gns.'!$A:$H,COLUMN('Costdrivere gns.'!D:D),FALSE)</f>
        <v>5279638.1100000003</v>
      </c>
      <c r="S8" s="8">
        <f>VLOOKUP($B8,'Costdrivere gns.'!$A:$H,COLUMN('Costdrivere gns.'!E:E),FALSE)</f>
        <v>784084.75</v>
      </c>
      <c r="T8" s="8">
        <f>VLOOKUP($B8,'Costdrivere gns.'!$A:$H,COLUMN('Costdrivere gns.'!F:F),FALSE)</f>
        <v>4406976.58</v>
      </c>
      <c r="U8" s="8">
        <f>VLOOKUP($B8,'Costdrivere gns.'!$A:$H,COLUMN('Costdrivere gns.'!G:G),FALSE)</f>
        <v>2259265.25</v>
      </c>
      <c r="V8" s="8">
        <f>VLOOKUP(B8,'Costdrivere gns.'!$A$3:$H$77,COLUMN('Costdrivere gns.'!$H$2))</f>
        <v>2713587.8849999998</v>
      </c>
      <c r="W8" s="8">
        <f>AVERAGE(VLOOKUP(B8,'Costdrivere 2024'!$A$3:$AC$77,COLUMN('Costdrivere 2024'!$AC$2),FALSE),VLOOKUP(B8,'Costdrivere 2025'!$A$3:$AC$77,COLUMN('Costdrivere 2025'!$AC$2),FALSE))</f>
        <v>4466737.1758403359</v>
      </c>
      <c r="X8" s="8">
        <f>AVERAGE(VLOOKUP(B8,'Costdrivere 2024'!$A$3:$AD$77,COLUMN('Costdrivere 2024'!$AD$2),FALSE),VLOOKUP(B8,'Costdrivere 2025'!$A$3:$AD$77,COLUMN('Costdrivere 2025'!$AD$2),FALSE))</f>
        <v>15488216.357483331</v>
      </c>
      <c r="Y8" s="8">
        <v>1206073.415</v>
      </c>
      <c r="Z8" s="8">
        <v>5279638.1100000003</v>
      </c>
      <c r="AA8" s="8">
        <v>784084.75</v>
      </c>
      <c r="AB8" s="8">
        <v>4406976.58</v>
      </c>
      <c r="AC8" s="8">
        <v>2259265.25</v>
      </c>
      <c r="AD8" s="8">
        <v>2713587.8849999998</v>
      </c>
      <c r="AE8" s="8">
        <v>4466737.1758403359</v>
      </c>
      <c r="AF8" s="8">
        <v>15488216.357483331</v>
      </c>
      <c r="AG8" s="8">
        <f>AVERAGE(VLOOKUP(B8,'Costdrivere 2024'!$A$3:$X$77,COLUMN('Costdrivere 2024'!X:X)),VLOOKUP(B8,'Costdrivere 2025'!$A$3:$X$77,COLUMN('Costdrivere 2025'!X:X)))</f>
        <v>2426858</v>
      </c>
      <c r="AH8" s="8">
        <f>AVERAGE(VLOOKUP(B8,'Costdrivere 2024'!$A$3:$Y$77,COLUMN('Costdrivere 2024'!Y:Y)),VLOOKUP(B8,'Costdrivere 2025'!$A$3:$Y$77,COLUMN('Costdrivere 2025'!Y:Y)))</f>
        <v>2612851.5</v>
      </c>
      <c r="AI8" s="8">
        <v>2426858</v>
      </c>
      <c r="AJ8" s="8">
        <v>2612851.5</v>
      </c>
    </row>
    <row r="9" spans="1:36" x14ac:dyDescent="0.25">
      <c r="A9" s="5" t="s">
        <v>170</v>
      </c>
      <c r="B9" s="5" t="s">
        <v>8</v>
      </c>
      <c r="C9" s="6">
        <f>VLOOKUP($B9,'Netvolumenmål gns.'!$A:$S,COLUMN('Netvolumenmål gns.'!C:C),FALSE)</f>
        <v>36.023496000000002</v>
      </c>
      <c r="D9" s="7">
        <f>VLOOKUP($B9,'Netvolumenmål gns.'!$A:$S,COLUMN('Netvolumenmål gns.'!D:D),FALSE)</f>
        <v>3.7412827759490778E-2</v>
      </c>
      <c r="E9" s="8">
        <f>VLOOKUP($B9,'Netvolumenmål gns.'!$A:$S,COLUMN('Netvolumenmål gns.'!E:E),FALSE)</f>
        <v>6042146.5633383542</v>
      </c>
      <c r="F9" s="8">
        <f>VLOOKUP($B9,'Netvolumenmål gns.'!$A:$S,COLUMN('Netvolumenmål gns.'!F:F),FALSE)</f>
        <v>8199181.0988734988</v>
      </c>
      <c r="G9" s="8">
        <f>VLOOKUP($B9,'Netvolumenmål gns.'!$A:$S,COLUMN('Netvolumenmål gns.'!P:P),FALSE)</f>
        <v>7617334.1626500003</v>
      </c>
      <c r="H9" s="8">
        <f>VLOOKUP($B9,'Netvolumenmål gns.'!$A:$S,COLUMN('Netvolumenmål gns.'!Q:Q),FALSE)</f>
        <v>7321944.2273562783</v>
      </c>
      <c r="I9" s="8">
        <f>VLOOKUP($B9,'Netvolumenmål gns.'!$A:$S,COLUMN('Netvolumenmål gns.'!R:R),FALSE)</f>
        <v>14939278.390006278</v>
      </c>
      <c r="J9" s="6">
        <v>36.023496000000002</v>
      </c>
      <c r="K9" s="7">
        <v>3.7412827759490778E-2</v>
      </c>
      <c r="L9" s="8">
        <v>6042146.5633383542</v>
      </c>
      <c r="M9" s="8">
        <v>8199181.0988734988</v>
      </c>
      <c r="N9" s="8">
        <v>7617334.1626500003</v>
      </c>
      <c r="O9" s="8">
        <v>7321944.2273562783</v>
      </c>
      <c r="P9" s="8">
        <v>14939278.390006278</v>
      </c>
      <c r="Q9" s="8">
        <f>VLOOKUP($B9,'Costdrivere gns.'!$A:$H,COLUMN('Costdrivere gns.'!C:C),FALSE)</f>
        <v>946709.64500000002</v>
      </c>
      <c r="R9" s="8">
        <f>VLOOKUP($B9,'Costdrivere gns.'!$A:$H,COLUMN('Costdrivere gns.'!D:D),FALSE)</f>
        <v>2706218.125</v>
      </c>
      <c r="S9" s="8">
        <f>VLOOKUP($B9,'Costdrivere gns.'!$A:$H,COLUMN('Costdrivere gns.'!E:E),FALSE)</f>
        <v>184155.45</v>
      </c>
      <c r="T9" s="8">
        <f>VLOOKUP($B9,'Costdrivere gns.'!$A:$H,COLUMN('Costdrivere gns.'!F:F),FALSE)</f>
        <v>1341991.0900000001</v>
      </c>
      <c r="U9" s="8">
        <f>VLOOKUP($B9,'Costdrivere gns.'!$A:$H,COLUMN('Costdrivere gns.'!G:G),FALSE)</f>
        <v>863072.255</v>
      </c>
      <c r="V9" s="8">
        <f>VLOOKUP(B9,'Costdrivere gns.'!$A$3:$H$77,COLUMN('Costdrivere gns.'!$H$2))</f>
        <v>2101972.1949999998</v>
      </c>
      <c r="W9" s="8">
        <f>AVERAGE(VLOOKUP(B9,'Costdrivere 2024'!$A$3:$AC$77,COLUMN('Costdrivere 2024'!$AC$2),FALSE),VLOOKUP(B9,'Costdrivere 2025'!$A$3:$AC$77,COLUMN('Costdrivere 2025'!$AC$2),FALSE))</f>
        <v>1670679.3048090269</v>
      </c>
      <c r="X9" s="8">
        <f>AVERAGE(VLOOKUP(B9,'Costdrivere 2024'!$A$3:$AD$77,COLUMN('Costdrivere 2024'!$AD$2),FALSE),VLOOKUP(B9,'Costdrivere 2025'!$A$3:$AD$77,COLUMN('Costdrivere 2025'!$AD$2),FALSE))</f>
        <v>6357206.7940644724</v>
      </c>
      <c r="Y9" s="8">
        <v>946709.64500000002</v>
      </c>
      <c r="Z9" s="8">
        <v>2706218.125</v>
      </c>
      <c r="AA9" s="8">
        <v>184155.45</v>
      </c>
      <c r="AB9" s="8">
        <v>1341991.0900000001</v>
      </c>
      <c r="AC9" s="8">
        <v>863072.255</v>
      </c>
      <c r="AD9" s="8">
        <v>2101972.1949999998</v>
      </c>
      <c r="AE9" s="8">
        <v>1670679.3048090269</v>
      </c>
      <c r="AF9" s="8">
        <v>6357206.7940644724</v>
      </c>
      <c r="AG9" s="8">
        <f>AVERAGE(VLOOKUP(B9,'Costdrivere 2024'!$A$3:$X$77,COLUMN('Costdrivere 2024'!X:X)),VLOOKUP(B9,'Costdrivere 2025'!$A$3:$X$77,COLUMN('Costdrivere 2025'!X:X)))</f>
        <v>1826100.5</v>
      </c>
      <c r="AH9" s="8">
        <f>AVERAGE(VLOOKUP(B9,'Costdrivere 2024'!$A$3:$Y$77,COLUMN('Costdrivere 2024'!Y:Y)),VLOOKUP(B9,'Costdrivere 2025'!$A$3:$Y$77,COLUMN('Costdrivere 2025'!Y:Y)))</f>
        <v>1960996</v>
      </c>
      <c r="AI9" s="8">
        <v>1826100.5</v>
      </c>
      <c r="AJ9" s="8">
        <v>1960996</v>
      </c>
    </row>
    <row r="10" spans="1:36" x14ac:dyDescent="0.25">
      <c r="A10" s="5" t="s">
        <v>113</v>
      </c>
      <c r="B10" s="5" t="s">
        <v>32</v>
      </c>
      <c r="C10" s="6">
        <f>VLOOKUP($B10,'Netvolumenmål gns.'!$A:$S,COLUMN('Netvolumenmål gns.'!C:C),FALSE)</f>
        <v>39.233544500000001</v>
      </c>
      <c r="D10" s="7">
        <f>VLOOKUP($B10,'Netvolumenmål gns.'!$A:$S,COLUMN('Netvolumenmål gns.'!D:D),FALSE)</f>
        <v>9.5219458132113577E-2</v>
      </c>
      <c r="E10" s="8">
        <f>VLOOKUP($B10,'Netvolumenmål gns.'!$A:$S,COLUMN('Netvolumenmål gns.'!E:E),FALSE)</f>
        <v>7199209.6080468148</v>
      </c>
      <c r="F10" s="8">
        <f>VLOOKUP($B10,'Netvolumenmål gns.'!$A:$S,COLUMN('Netvolumenmål gns.'!F:F),FALSE)</f>
        <v>10746420.22972269</v>
      </c>
      <c r="G10" s="8">
        <f>VLOOKUP($B10,'Netvolumenmål gns.'!$A:$S,COLUMN('Netvolumenmål gns.'!P:P),FALSE)</f>
        <v>12846261.557750002</v>
      </c>
      <c r="H10" s="8">
        <f>VLOOKUP($B10,'Netvolumenmål gns.'!$A:$S,COLUMN('Netvolumenmål gns.'!Q:Q),FALSE)</f>
        <v>9901318.2977960929</v>
      </c>
      <c r="I10" s="8">
        <f>VLOOKUP($B10,'Netvolumenmål gns.'!$A:$S,COLUMN('Netvolumenmål gns.'!R:R),FALSE)</f>
        <v>22747579.855546094</v>
      </c>
      <c r="J10" s="6">
        <v>39.233544500000001</v>
      </c>
      <c r="K10" s="7">
        <v>9.5219458132113577E-2</v>
      </c>
      <c r="L10" s="8">
        <v>7199209.6080468148</v>
      </c>
      <c r="M10" s="8">
        <v>10746420.22972269</v>
      </c>
      <c r="N10" s="8">
        <v>12846261.557750002</v>
      </c>
      <c r="O10" s="8">
        <v>9901318.2977960929</v>
      </c>
      <c r="P10" s="8">
        <v>22747579.855546094</v>
      </c>
      <c r="Q10" s="8">
        <f>VLOOKUP($B10,'Costdrivere gns.'!$A:$H,COLUMN('Costdrivere gns.'!C:C),FALSE)</f>
        <v>961930.27500000002</v>
      </c>
      <c r="R10" s="8">
        <f>VLOOKUP($B10,'Costdrivere gns.'!$A:$H,COLUMN('Costdrivere gns.'!D:D),FALSE)</f>
        <v>2741859.7949999999</v>
      </c>
      <c r="S10" s="8">
        <f>VLOOKUP($B10,'Costdrivere gns.'!$A:$H,COLUMN('Costdrivere gns.'!E:E),FALSE)</f>
        <v>87447.75</v>
      </c>
      <c r="T10" s="8">
        <f>VLOOKUP($B10,'Costdrivere gns.'!$A:$H,COLUMN('Costdrivere gns.'!F:F),FALSE)</f>
        <v>2249255.8650000002</v>
      </c>
      <c r="U10" s="8">
        <f>VLOOKUP($B10,'Costdrivere gns.'!$A:$H,COLUMN('Costdrivere gns.'!G:G),FALSE)</f>
        <v>1158715.925</v>
      </c>
      <c r="V10" s="8">
        <f>VLOOKUP(B10,'Costdrivere gns.'!$A$3:$H$77,COLUMN('Costdrivere gns.'!$H$2))</f>
        <v>2058963.575</v>
      </c>
      <c r="W10" s="8">
        <f>AVERAGE(VLOOKUP(B10,'Costdrivere 2024'!$A$3:$AC$77,COLUMN('Costdrivere 2024'!$AC$2),FALSE),VLOOKUP(B10,'Costdrivere 2025'!$A$3:$AC$77,COLUMN('Costdrivere 2025'!$AC$2),FALSE))</f>
        <v>2747373.4177512089</v>
      </c>
      <c r="X10" s="8">
        <f>AVERAGE(VLOOKUP(B10,'Costdrivere 2024'!$A$3:$AD$77,COLUMN('Costdrivere 2024'!$AD$2),FALSE),VLOOKUP(B10,'Costdrivere 2025'!$A$3:$AD$77,COLUMN('Costdrivere 2025'!$AD$2),FALSE))</f>
        <v>7783309.3119714819</v>
      </c>
      <c r="Y10" s="8">
        <v>961930.27500000002</v>
      </c>
      <c r="Z10" s="8">
        <v>2741859.7949999999</v>
      </c>
      <c r="AA10" s="8">
        <v>87447.75</v>
      </c>
      <c r="AB10" s="8">
        <v>2249255.8650000002</v>
      </c>
      <c r="AC10" s="8">
        <v>1158715.925</v>
      </c>
      <c r="AD10" s="8">
        <v>2058963.575</v>
      </c>
      <c r="AE10" s="8">
        <v>2747373.4177512089</v>
      </c>
      <c r="AF10" s="8">
        <v>7783309.3119714819</v>
      </c>
      <c r="AG10" s="8">
        <f>AVERAGE(VLOOKUP(B10,'Costdrivere 2024'!$A$3:$X$77,COLUMN('Costdrivere 2024'!X:X)),VLOOKUP(B10,'Costdrivere 2025'!$A$3:$X$77,COLUMN('Costdrivere 2025'!X:X)))</f>
        <v>1784553.5</v>
      </c>
      <c r="AH10" s="8">
        <f>AVERAGE(VLOOKUP(B10,'Costdrivere 2024'!$A$3:$Y$77,COLUMN('Costdrivere 2024'!Y:Y)),VLOOKUP(B10,'Costdrivere 2025'!$A$3:$Y$77,COLUMN('Costdrivere 2025'!Y:Y)))</f>
        <v>1989865</v>
      </c>
      <c r="AI10" s="8">
        <v>1784553.5</v>
      </c>
      <c r="AJ10" s="8">
        <v>1989865</v>
      </c>
    </row>
    <row r="11" spans="1:36" x14ac:dyDescent="0.25">
      <c r="A11" s="5" t="s">
        <v>129</v>
      </c>
      <c r="B11" s="5" t="s">
        <v>53</v>
      </c>
      <c r="C11" s="6">
        <f>VLOOKUP($B11,'Netvolumenmål gns.'!$A:$S,COLUMN('Netvolumenmål gns.'!C:C),FALSE)</f>
        <v>46.965114499999999</v>
      </c>
      <c r="D11" s="7">
        <f>VLOOKUP($B11,'Netvolumenmål gns.'!$A:$S,COLUMN('Netvolumenmål gns.'!D:D),FALSE)</f>
        <v>0.11369039439763928</v>
      </c>
      <c r="E11" s="8">
        <f>VLOOKUP($B11,'Netvolumenmål gns.'!$A:$S,COLUMN('Netvolumenmål gns.'!E:E),FALSE)</f>
        <v>12557999.076682694</v>
      </c>
      <c r="F11" s="8">
        <f>VLOOKUP($B11,'Netvolumenmål gns.'!$A:$S,COLUMN('Netvolumenmål gns.'!F:F),FALSE)</f>
        <v>18266692.832650833</v>
      </c>
      <c r="G11" s="8">
        <f>VLOOKUP($B11,'Netvolumenmål gns.'!$A:$S,COLUMN('Netvolumenmål gns.'!P:P),FALSE)</f>
        <v>23547348.133000001</v>
      </c>
      <c r="H11" s="8">
        <f>VLOOKUP($B11,'Netvolumenmål gns.'!$A:$S,COLUMN('Netvolumenmål gns.'!Q:Q),FALSE)</f>
        <v>16499406.088756476</v>
      </c>
      <c r="I11" s="8">
        <f>VLOOKUP($B11,'Netvolumenmål gns.'!$A:$S,COLUMN('Netvolumenmål gns.'!R:R),FALSE)</f>
        <v>40046754.221756473</v>
      </c>
      <c r="J11" s="6">
        <v>46.965114499999999</v>
      </c>
      <c r="K11" s="7">
        <v>0.11369039439763928</v>
      </c>
      <c r="L11" s="8">
        <v>12557999.076682694</v>
      </c>
      <c r="M11" s="8">
        <v>18266692.832650833</v>
      </c>
      <c r="N11" s="8">
        <v>23547348.133000001</v>
      </c>
      <c r="O11" s="8">
        <v>16499406.088756476</v>
      </c>
      <c r="P11" s="8">
        <v>40046754.221756473</v>
      </c>
      <c r="Q11" s="8">
        <f>VLOOKUP($B11,'Costdrivere gns.'!$A:$H,COLUMN('Costdrivere gns.'!C:C),FALSE)</f>
        <v>1631313.11</v>
      </c>
      <c r="R11" s="8">
        <f>VLOOKUP($B11,'Costdrivere gns.'!$A:$H,COLUMN('Costdrivere gns.'!D:D),FALSE)</f>
        <v>4756648.1100000003</v>
      </c>
      <c r="S11" s="8">
        <f>VLOOKUP($B11,'Costdrivere gns.'!$A:$H,COLUMN('Costdrivere gns.'!E:E),FALSE)</f>
        <v>337714.39</v>
      </c>
      <c r="T11" s="8">
        <f>VLOOKUP($B11,'Costdrivere gns.'!$A:$H,COLUMN('Costdrivere gns.'!F:F),FALSE)</f>
        <v>4125350.4750000001</v>
      </c>
      <c r="U11" s="8">
        <f>VLOOKUP($B11,'Costdrivere gns.'!$A:$H,COLUMN('Costdrivere gns.'!G:G),FALSE)</f>
        <v>1706972.9950000001</v>
      </c>
      <c r="V11" s="8">
        <f>VLOOKUP(B11,'Costdrivere gns.'!$A$3:$H$77,COLUMN('Costdrivere gns.'!$H$2))</f>
        <v>3530448.44</v>
      </c>
      <c r="W11" s="8">
        <f>AVERAGE(VLOOKUP(B11,'Costdrivere 2024'!$A$3:$AC$77,COLUMN('Costdrivere 2024'!$AC$2),FALSE),VLOOKUP(B11,'Costdrivere 2025'!$A$3:$AC$77,COLUMN('Costdrivere 2025'!$AC$2),FALSE))</f>
        <v>4379923.6515781879</v>
      </c>
      <c r="X11" s="8">
        <f>AVERAGE(VLOOKUP(B11,'Costdrivere 2024'!$A$3:$AD$77,COLUMN('Costdrivere 2024'!$AD$2),FALSE),VLOOKUP(B11,'Costdrivere 2025'!$A$3:$AD$77,COLUMN('Costdrivere 2025'!$AD$2),FALSE))</f>
        <v>13473875.114631005</v>
      </c>
      <c r="Y11" s="8">
        <v>1631313.11</v>
      </c>
      <c r="Z11" s="8">
        <v>4756648.1100000003</v>
      </c>
      <c r="AA11" s="8">
        <v>337714.39</v>
      </c>
      <c r="AB11" s="8">
        <v>4125350.4750000001</v>
      </c>
      <c r="AC11" s="8">
        <v>1706972.9950000001</v>
      </c>
      <c r="AD11" s="8">
        <v>3530448.44</v>
      </c>
      <c r="AE11" s="8">
        <v>4379923.6515781879</v>
      </c>
      <c r="AF11" s="8">
        <v>13473875.114631005</v>
      </c>
      <c r="AG11" s="8">
        <f>AVERAGE(VLOOKUP(B11,'Costdrivere 2024'!$A$3:$X$77,COLUMN('Costdrivere 2024'!X:X)),VLOOKUP(B11,'Costdrivere 2025'!$A$3:$X$77,COLUMN('Costdrivere 2025'!X:X)))</f>
        <v>3004438.5</v>
      </c>
      <c r="AH11" s="8">
        <f>AVERAGE(VLOOKUP(B11,'Costdrivere 2024'!$A$3:$Y$77,COLUMN('Costdrivere 2024'!Y:Y)),VLOOKUP(B11,'Costdrivere 2025'!$A$3:$Y$77,COLUMN('Costdrivere 2025'!Y:Y)))</f>
        <v>3585717.5</v>
      </c>
      <c r="AI11" s="8">
        <v>3004438.5</v>
      </c>
      <c r="AJ11" s="8">
        <v>3585717.5</v>
      </c>
    </row>
    <row r="12" spans="1:36" x14ac:dyDescent="0.25">
      <c r="A12" s="5" t="s">
        <v>171</v>
      </c>
      <c r="B12" s="5" t="s">
        <v>9</v>
      </c>
      <c r="C12" s="6">
        <f>VLOOKUP($B12,'Netvolumenmål gns.'!$A:$S,COLUMN('Netvolumenmål gns.'!C:C),FALSE)</f>
        <v>29.501525999999998</v>
      </c>
      <c r="D12" s="7">
        <f>VLOOKUP($B12,'Netvolumenmål gns.'!$A:$S,COLUMN('Netvolumenmål gns.'!D:D),FALSE)</f>
        <v>9.8263668130663867E-2</v>
      </c>
      <c r="E12" s="8">
        <f>VLOOKUP($B12,'Netvolumenmål gns.'!$A:$S,COLUMN('Netvolumenmål gns.'!E:E),FALSE)</f>
        <v>10565080.822147831</v>
      </c>
      <c r="F12" s="8">
        <f>VLOOKUP($B12,'Netvolumenmål gns.'!$A:$S,COLUMN('Netvolumenmål gns.'!F:F),FALSE)</f>
        <v>21515649.704568103</v>
      </c>
      <c r="G12" s="8">
        <f>VLOOKUP($B12,'Netvolumenmål gns.'!$A:$S,COLUMN('Netvolumenmål gns.'!P:P),FALSE)</f>
        <v>22158167.2656</v>
      </c>
      <c r="H12" s="8">
        <f>VLOOKUP($B12,'Netvolumenmål gns.'!$A:$S,COLUMN('Netvolumenmål gns.'!Q:Q),FALSE)</f>
        <v>32766167.39294811</v>
      </c>
      <c r="I12" s="8">
        <f>VLOOKUP($B12,'Netvolumenmål gns.'!$A:$S,COLUMN('Netvolumenmål gns.'!R:R),FALSE)</f>
        <v>54924334.658548109</v>
      </c>
      <c r="J12" s="6">
        <v>29.501525999999998</v>
      </c>
      <c r="K12" s="7">
        <v>9.8263668130663867E-2</v>
      </c>
      <c r="L12" s="8">
        <v>10565080.822147831</v>
      </c>
      <c r="M12" s="8">
        <v>21515649.704568103</v>
      </c>
      <c r="N12" s="8">
        <v>22158167.2656</v>
      </c>
      <c r="O12" s="8">
        <v>32766167.39294811</v>
      </c>
      <c r="P12" s="8">
        <v>54924334.658548109</v>
      </c>
      <c r="Q12" s="8">
        <f>VLOOKUP($B12,'Costdrivere gns.'!$A:$H,COLUMN('Costdrivere gns.'!C:C),FALSE)</f>
        <v>1375195.0249999999</v>
      </c>
      <c r="R12" s="8">
        <f>VLOOKUP($B12,'Costdrivere gns.'!$A:$H,COLUMN('Costdrivere gns.'!D:D),FALSE)</f>
        <v>3923003.1549999998</v>
      </c>
      <c r="S12" s="8">
        <f>VLOOKUP($B12,'Costdrivere gns.'!$A:$H,COLUMN('Costdrivere gns.'!E:E),FALSE)</f>
        <v>222200.15</v>
      </c>
      <c r="T12" s="8">
        <f>VLOOKUP($B12,'Costdrivere gns.'!$A:$H,COLUMN('Costdrivere gns.'!F:F),FALSE)</f>
        <v>3048372.125</v>
      </c>
      <c r="U12" s="8">
        <f>VLOOKUP($B12,'Costdrivere gns.'!$A:$H,COLUMN('Costdrivere gns.'!G:G),FALSE)</f>
        <v>1996310.37</v>
      </c>
      <c r="V12" s="8">
        <f>VLOOKUP(B12,'Costdrivere gns.'!$A$3:$H$77,COLUMN('Costdrivere gns.'!$H$2))</f>
        <v>2990799.95</v>
      </c>
      <c r="W12" s="8">
        <f>AVERAGE(VLOOKUP(B12,'Costdrivere 2024'!$A$3:$AC$77,COLUMN('Costdrivere 2024'!$AC$2),FALSE),VLOOKUP(B12,'Costdrivere 2025'!$A$3:$AC$77,COLUMN('Costdrivere 2025'!$AC$2),FALSE))</f>
        <v>5367547.1939281477</v>
      </c>
      <c r="X12" s="8">
        <f>AVERAGE(VLOOKUP(B12,'Costdrivere 2024'!$A$3:$AD$77,COLUMN('Costdrivere 2024'!$AD$2),FALSE),VLOOKUP(B12,'Costdrivere 2025'!$A$3:$AD$77,COLUMN('Costdrivere 2025'!$AD$2),FALSE))</f>
        <v>14079368.510639958</v>
      </c>
      <c r="Y12" s="8">
        <v>1375195.0249999999</v>
      </c>
      <c r="Z12" s="8">
        <v>3923003.1549999998</v>
      </c>
      <c r="AA12" s="8">
        <v>222200.15</v>
      </c>
      <c r="AB12" s="8">
        <v>3048372.125</v>
      </c>
      <c r="AC12" s="8">
        <v>1996310.37</v>
      </c>
      <c r="AD12" s="8">
        <v>2990799.95</v>
      </c>
      <c r="AE12" s="8">
        <v>5367547.1939281477</v>
      </c>
      <c r="AF12" s="8">
        <v>14079368.510639958</v>
      </c>
      <c r="AG12" s="8">
        <f>AVERAGE(VLOOKUP(B12,'Costdrivere 2024'!$A$3:$X$77,COLUMN('Costdrivere 2024'!X:X)),VLOOKUP(B12,'Costdrivere 2025'!$A$3:$X$77,COLUMN('Costdrivere 2025'!X:X)))</f>
        <v>2704489</v>
      </c>
      <c r="AH12" s="8">
        <f>AVERAGE(VLOOKUP(B12,'Costdrivere 2024'!$A$3:$Y$77,COLUMN('Costdrivere 2024'!Y:Y)),VLOOKUP(B12,'Costdrivere 2025'!$A$3:$Y$77,COLUMN('Costdrivere 2025'!Y:Y)))</f>
        <v>2941083.5</v>
      </c>
      <c r="AI12" s="8">
        <v>2704489</v>
      </c>
      <c r="AJ12" s="8">
        <v>2941083.5</v>
      </c>
    </row>
    <row r="13" spans="1:36" x14ac:dyDescent="0.25">
      <c r="A13" s="5" t="s">
        <v>172</v>
      </c>
      <c r="B13" s="5" t="s">
        <v>10</v>
      </c>
      <c r="C13" s="6">
        <f>VLOOKUP($B13,'Netvolumenmål gns.'!$A:$S,COLUMN('Netvolumenmål gns.'!C:C),FALSE)</f>
        <v>41.756281000000001</v>
      </c>
      <c r="D13" s="7">
        <f>VLOOKUP($B13,'Netvolumenmål gns.'!$A:$S,COLUMN('Netvolumenmål gns.'!D:D),FALSE)</f>
        <v>6.4964240114845945E-2</v>
      </c>
      <c r="E13" s="8">
        <f>VLOOKUP($B13,'Netvolumenmål gns.'!$A:$S,COLUMN('Netvolumenmål gns.'!E:E),FALSE)</f>
        <v>5613018.5446180496</v>
      </c>
      <c r="F13" s="8">
        <f>VLOOKUP($B13,'Netvolumenmål gns.'!$A:$S,COLUMN('Netvolumenmål gns.'!F:F),FALSE)</f>
        <v>11345473.59836204</v>
      </c>
      <c r="G13" s="8">
        <f>VLOOKUP($B13,'Netvolumenmål gns.'!$A:$S,COLUMN('Netvolumenmål gns.'!P:P),FALSE)</f>
        <v>8012131.0281000007</v>
      </c>
      <c r="H13" s="8">
        <f>VLOOKUP($B13,'Netvolumenmål gns.'!$A:$S,COLUMN('Netvolumenmål gns.'!Q:Q),FALSE)</f>
        <v>9910878.0054024979</v>
      </c>
      <c r="I13" s="8">
        <f>VLOOKUP($B13,'Netvolumenmål gns.'!$A:$S,COLUMN('Netvolumenmål gns.'!R:R),FALSE)</f>
        <v>17923009.033502497</v>
      </c>
      <c r="J13" s="6">
        <v>41.756281000000001</v>
      </c>
      <c r="K13" s="7">
        <v>6.4964240114845945E-2</v>
      </c>
      <c r="L13" s="8">
        <v>5613018.5446180496</v>
      </c>
      <c r="M13" s="8">
        <v>11345473.59836204</v>
      </c>
      <c r="N13" s="8">
        <v>8012131.0281000007</v>
      </c>
      <c r="O13" s="8">
        <v>9910878.0054024979</v>
      </c>
      <c r="P13" s="8">
        <v>17923009.033502497</v>
      </c>
      <c r="Q13" s="8">
        <f>VLOOKUP($B13,'Costdrivere gns.'!$A:$H,COLUMN('Costdrivere gns.'!C:C),FALSE)</f>
        <v>581968.32499999995</v>
      </c>
      <c r="R13" s="8">
        <f>VLOOKUP($B13,'Costdrivere gns.'!$A:$H,COLUMN('Costdrivere gns.'!D:D),FALSE)</f>
        <v>1683328.5649999999</v>
      </c>
      <c r="S13" s="8">
        <f>VLOOKUP($B13,'Costdrivere gns.'!$A:$H,COLUMN('Costdrivere gns.'!E:E),FALSE)</f>
        <v>202254.15</v>
      </c>
      <c r="T13" s="8">
        <f>VLOOKUP($B13,'Costdrivere gns.'!$A:$H,COLUMN('Costdrivere gns.'!F:F),FALSE)</f>
        <v>1681812.72</v>
      </c>
      <c r="U13" s="8">
        <f>VLOOKUP($B13,'Costdrivere gns.'!$A:$H,COLUMN('Costdrivere gns.'!G:G),FALSE)</f>
        <v>1463654.78</v>
      </c>
      <c r="V13" s="8">
        <f>VLOOKUP(B13,'Costdrivere gns.'!$A$3:$H$77,COLUMN('Costdrivere gns.'!$H$2))</f>
        <v>2074498.57</v>
      </c>
      <c r="W13" s="8">
        <f>AVERAGE(VLOOKUP(B13,'Costdrivere 2024'!$A$3:$AC$77,COLUMN('Costdrivere 2024'!$AC$2),FALSE),VLOOKUP(B13,'Costdrivere 2025'!$A$3:$AC$77,COLUMN('Costdrivere 2025'!$AC$2),FALSE))</f>
        <v>1274221.7317435434</v>
      </c>
      <c r="X13" s="8">
        <f>AVERAGE(VLOOKUP(B13,'Costdrivere 2024'!$A$3:$AD$77,COLUMN('Costdrivere 2024'!$AD$2),FALSE),VLOOKUP(B13,'Costdrivere 2025'!$A$3:$AD$77,COLUMN('Costdrivere 2025'!$AD$2),FALSE))</f>
        <v>10049474.866618497</v>
      </c>
      <c r="Y13" s="8">
        <v>581968.32499999995</v>
      </c>
      <c r="Z13" s="8">
        <v>1683328.5649999999</v>
      </c>
      <c r="AA13" s="8">
        <v>202254.15</v>
      </c>
      <c r="AB13" s="8">
        <v>1681812.72</v>
      </c>
      <c r="AC13" s="8">
        <v>1463654.78</v>
      </c>
      <c r="AD13" s="8">
        <v>2074498.57</v>
      </c>
      <c r="AE13" s="8">
        <v>1274221.7317435434</v>
      </c>
      <c r="AF13" s="8">
        <v>10049474.866618497</v>
      </c>
      <c r="AG13" s="8">
        <f>AVERAGE(VLOOKUP(B13,'Costdrivere 2024'!$A$3:$X$77,COLUMN('Costdrivere 2024'!X:X)),VLOOKUP(B13,'Costdrivere 2025'!$A$3:$X$77,COLUMN('Costdrivere 2025'!X:X)))</f>
        <v>1799603.5</v>
      </c>
      <c r="AH13" s="8">
        <f>AVERAGE(VLOOKUP(B13,'Costdrivere 2024'!$A$3:$Y$77,COLUMN('Costdrivere 2024'!Y:Y)),VLOOKUP(B13,'Costdrivere 2025'!$A$3:$Y$77,COLUMN('Costdrivere 2025'!Y:Y)))</f>
        <v>1132477</v>
      </c>
      <c r="AI13" s="8">
        <v>1799603.5</v>
      </c>
      <c r="AJ13" s="8">
        <v>1132477</v>
      </c>
    </row>
    <row r="14" spans="1:36" x14ac:dyDescent="0.25">
      <c r="A14" s="5" t="s">
        <v>173</v>
      </c>
      <c r="B14" s="5" t="s">
        <v>11</v>
      </c>
      <c r="C14" s="6">
        <f>VLOOKUP($B14,'Netvolumenmål gns.'!$A:$S,COLUMN('Netvolumenmål gns.'!C:C),FALSE)</f>
        <v>29.361794500000002</v>
      </c>
      <c r="D14" s="7">
        <f>VLOOKUP($B14,'Netvolumenmål gns.'!$A:$S,COLUMN('Netvolumenmål gns.'!D:D),FALSE)</f>
        <v>0.37934387339500319</v>
      </c>
      <c r="E14" s="8">
        <f>VLOOKUP($B14,'Netvolumenmål gns.'!$A:$S,COLUMN('Netvolumenmål gns.'!E:E),FALSE)</f>
        <v>16939920.37692783</v>
      </c>
      <c r="F14" s="8">
        <f>VLOOKUP($B14,'Netvolumenmål gns.'!$A:$S,COLUMN('Netvolumenmål gns.'!F:F),FALSE)</f>
        <v>14139101.713277545</v>
      </c>
      <c r="G14" s="8">
        <f>VLOOKUP($B14,'Netvolumenmål gns.'!$A:$S,COLUMN('Netvolumenmål gns.'!P:P),FALSE)</f>
        <v>41810812.116099998</v>
      </c>
      <c r="H14" s="8">
        <f>VLOOKUP($B14,'Netvolumenmål gns.'!$A:$S,COLUMN('Netvolumenmål gns.'!Q:Q),FALSE)</f>
        <v>32860103.737114307</v>
      </c>
      <c r="I14" s="8">
        <f>VLOOKUP($B14,'Netvolumenmål gns.'!$A:$S,COLUMN('Netvolumenmål gns.'!R:R),FALSE)</f>
        <v>74670915.853214309</v>
      </c>
      <c r="J14" s="6">
        <v>29.361794500000002</v>
      </c>
      <c r="K14" s="7">
        <v>0.37934387339500319</v>
      </c>
      <c r="L14" s="8">
        <v>16939920.37692783</v>
      </c>
      <c r="M14" s="8">
        <v>14139101.713277545</v>
      </c>
      <c r="N14" s="8">
        <v>41810812.116099998</v>
      </c>
      <c r="O14" s="8">
        <v>32860103.737114307</v>
      </c>
      <c r="P14" s="8">
        <v>74670915.853214309</v>
      </c>
      <c r="Q14" s="8">
        <f>VLOOKUP($B14,'Costdrivere gns.'!$A:$H,COLUMN('Costdrivere gns.'!C:C),FALSE)</f>
        <v>1140366.8149999999</v>
      </c>
      <c r="R14" s="8">
        <f>VLOOKUP($B14,'Costdrivere gns.'!$A:$H,COLUMN('Costdrivere gns.'!D:D),FALSE)</f>
        <v>8848638.9399999995</v>
      </c>
      <c r="S14" s="8">
        <f>VLOOKUP($B14,'Costdrivere gns.'!$A:$H,COLUMN('Costdrivere gns.'!E:E),FALSE)</f>
        <v>312933.55</v>
      </c>
      <c r="T14" s="8">
        <f>VLOOKUP($B14,'Costdrivere gns.'!$A:$H,COLUMN('Costdrivere gns.'!F:F),FALSE)</f>
        <v>5938318.375</v>
      </c>
      <c r="U14" s="8">
        <f>VLOOKUP($B14,'Costdrivere gns.'!$A:$H,COLUMN('Costdrivere gns.'!G:G),FALSE)</f>
        <v>699662.69</v>
      </c>
      <c r="V14" s="8">
        <f>VLOOKUP(B14,'Costdrivere gns.'!$A$3:$H$77,COLUMN('Costdrivere gns.'!$H$2))</f>
        <v>4990009.4749999996</v>
      </c>
      <c r="W14" s="8">
        <f>AVERAGE(VLOOKUP(B14,'Costdrivere 2024'!$A$3:$AC$77,COLUMN('Costdrivere 2024'!$AC$2),FALSE),VLOOKUP(B14,'Costdrivere 2025'!$A$3:$AC$77,COLUMN('Costdrivere 2025'!$AC$2),FALSE))</f>
        <v>2570557.0858412692</v>
      </c>
      <c r="X14" s="8">
        <f>AVERAGE(VLOOKUP(B14,'Costdrivere 2024'!$A$3:$AD$77,COLUMN('Costdrivere 2024'!$AD$2),FALSE),VLOOKUP(B14,'Costdrivere 2025'!$A$3:$AD$77,COLUMN('Costdrivere 2025'!$AD$2),FALSE))</f>
        <v>8818738.6274362765</v>
      </c>
      <c r="Y14" s="8">
        <v>1140366.8149999999</v>
      </c>
      <c r="Z14" s="8">
        <v>8848638.9399999995</v>
      </c>
      <c r="AA14" s="8">
        <v>312933.55</v>
      </c>
      <c r="AB14" s="8">
        <v>5938318.375</v>
      </c>
      <c r="AC14" s="8">
        <v>699662.69</v>
      </c>
      <c r="AD14" s="8">
        <v>4990009.4749999996</v>
      </c>
      <c r="AE14" s="8">
        <v>2570557.0858412692</v>
      </c>
      <c r="AF14" s="8">
        <v>8818738.6274362765</v>
      </c>
      <c r="AG14" s="8">
        <f>AVERAGE(VLOOKUP(B14,'Costdrivere 2024'!$A$3:$X$77,COLUMN('Costdrivere 2024'!X:X)),VLOOKUP(B14,'Costdrivere 2025'!$A$3:$X$77,COLUMN('Costdrivere 2025'!X:X)))</f>
        <v>4782419</v>
      </c>
      <c r="AH14" s="8">
        <f>AVERAGE(VLOOKUP(B14,'Costdrivere 2024'!$A$3:$Y$77,COLUMN('Costdrivere 2024'!Y:Y)),VLOOKUP(B14,'Costdrivere 2025'!$A$3:$Y$77,COLUMN('Costdrivere 2025'!Y:Y)))</f>
        <v>4479972</v>
      </c>
      <c r="AI14" s="8">
        <v>4782419</v>
      </c>
      <c r="AJ14" s="8">
        <v>4479972</v>
      </c>
    </row>
    <row r="15" spans="1:36" x14ac:dyDescent="0.25">
      <c r="A15" s="5" t="s">
        <v>174</v>
      </c>
      <c r="B15" s="5" t="s">
        <v>12</v>
      </c>
      <c r="C15" s="6">
        <f>VLOOKUP($B15,'Netvolumenmål gns.'!$A:$S,COLUMN('Netvolumenmål gns.'!C:C),FALSE)</f>
        <v>36.696852</v>
      </c>
      <c r="D15" s="7">
        <f>VLOOKUP($B15,'Netvolumenmål gns.'!$A:$S,COLUMN('Netvolumenmål gns.'!D:D),FALSE)</f>
        <v>3.1406673454007807E-2</v>
      </c>
      <c r="E15" s="8">
        <f>VLOOKUP($B15,'Netvolumenmål gns.'!$A:$S,COLUMN('Netvolumenmål gns.'!E:E),FALSE)</f>
        <v>19773559.473800696</v>
      </c>
      <c r="F15" s="8">
        <f>VLOOKUP($B15,'Netvolumenmål gns.'!$A:$S,COLUMN('Netvolumenmål gns.'!F:F),FALSE)</f>
        <v>46494410.915543899</v>
      </c>
      <c r="G15" s="8">
        <f>VLOOKUP($B15,'Netvolumenmål gns.'!$A:$S,COLUMN('Netvolumenmål gns.'!P:P),FALSE)</f>
        <v>32487467.351849999</v>
      </c>
      <c r="H15" s="8">
        <f>VLOOKUP($B15,'Netvolumenmål gns.'!$A:$S,COLUMN('Netvolumenmål gns.'!Q:Q),FALSE)</f>
        <v>53353707.714744277</v>
      </c>
      <c r="I15" s="8">
        <f>VLOOKUP($B15,'Netvolumenmål gns.'!$A:$S,COLUMN('Netvolumenmål gns.'!R:R),FALSE)</f>
        <v>85841175.066594273</v>
      </c>
      <c r="J15" s="6">
        <v>36.696852</v>
      </c>
      <c r="K15" s="7">
        <v>3.1406673454007807E-2</v>
      </c>
      <c r="L15" s="8">
        <v>19773559.473800696</v>
      </c>
      <c r="M15" s="8">
        <v>46494410.915543899</v>
      </c>
      <c r="N15" s="8">
        <v>32487467.351849999</v>
      </c>
      <c r="O15" s="8">
        <v>53353707.714744277</v>
      </c>
      <c r="P15" s="8">
        <v>85841175.066594273</v>
      </c>
      <c r="Q15" s="8">
        <f>VLOOKUP($B15,'Costdrivere gns.'!$A:$H,COLUMN('Costdrivere gns.'!C:C),FALSE)</f>
        <v>2215544.38</v>
      </c>
      <c r="R15" s="8">
        <f>VLOOKUP($B15,'Costdrivere gns.'!$A:$H,COLUMN('Costdrivere gns.'!D:D),FALSE)</f>
        <v>7435231.46</v>
      </c>
      <c r="S15" s="8">
        <f>VLOOKUP($B15,'Costdrivere gns.'!$A:$H,COLUMN('Costdrivere gns.'!E:E),FALSE)</f>
        <v>664326.67000000004</v>
      </c>
      <c r="T15" s="8">
        <f>VLOOKUP($B15,'Costdrivere gns.'!$A:$H,COLUMN('Costdrivere gns.'!F:F),FALSE)</f>
        <v>6172391.2949999999</v>
      </c>
      <c r="U15" s="8">
        <f>VLOOKUP($B15,'Costdrivere gns.'!$A:$H,COLUMN('Costdrivere gns.'!G:G),FALSE)</f>
        <v>3286065.67</v>
      </c>
      <c r="V15" s="8">
        <f>VLOOKUP(B15,'Costdrivere gns.'!$A$3:$H$77,COLUMN('Costdrivere gns.'!$H$2))</f>
        <v>4598139.915</v>
      </c>
      <c r="W15" s="8">
        <f>AVERAGE(VLOOKUP(B15,'Costdrivere 2024'!$A$3:$AC$77,COLUMN('Costdrivere 2024'!$AC$2),FALSE),VLOOKUP(B15,'Costdrivere 2025'!$A$3:$AC$77,COLUMN('Costdrivere 2025'!$AC$2),FALSE))</f>
        <v>11467603.815853585</v>
      </c>
      <c r="X15" s="8">
        <f>AVERAGE(VLOOKUP(B15,'Costdrivere 2024'!$A$3:$AD$77,COLUMN('Costdrivere 2024'!$AD$2),FALSE),VLOOKUP(B15,'Costdrivere 2025'!$A$3:$AD$77,COLUMN('Costdrivere 2025'!$AD$2),FALSE))</f>
        <v>33669307.099690311</v>
      </c>
      <c r="Y15" s="8">
        <v>2215544.38</v>
      </c>
      <c r="Z15" s="8">
        <v>7435231.46</v>
      </c>
      <c r="AA15" s="8">
        <v>664326.67000000004</v>
      </c>
      <c r="AB15" s="8">
        <v>6172391.2949999999</v>
      </c>
      <c r="AC15" s="8">
        <v>3286065.67</v>
      </c>
      <c r="AD15" s="8">
        <v>4598139.915</v>
      </c>
      <c r="AE15" s="8">
        <v>11467603.815853585</v>
      </c>
      <c r="AF15" s="8">
        <v>33669307.099690311</v>
      </c>
      <c r="AG15" s="8">
        <f>AVERAGE(VLOOKUP(B15,'Costdrivere 2024'!$A$3:$X$77,COLUMN('Costdrivere 2024'!X:X)),VLOOKUP(B15,'Costdrivere 2025'!$A$3:$X$77,COLUMN('Costdrivere 2025'!X:X)))</f>
        <v>4366000</v>
      </c>
      <c r="AH15" s="8">
        <f>AVERAGE(VLOOKUP(B15,'Costdrivere 2024'!$A$3:$Y$77,COLUMN('Costdrivere 2024'!Y:Y)),VLOOKUP(B15,'Costdrivere 2025'!$A$3:$Y$77,COLUMN('Costdrivere 2025'!Y:Y)))</f>
        <v>5005000</v>
      </c>
      <c r="AI15" s="8">
        <v>4366000</v>
      </c>
      <c r="AJ15" s="8">
        <v>5005000</v>
      </c>
    </row>
    <row r="16" spans="1:36" x14ac:dyDescent="0.25">
      <c r="A16" s="5" t="s">
        <v>130</v>
      </c>
      <c r="B16" s="5" t="s">
        <v>13</v>
      </c>
      <c r="C16" s="6">
        <f>VLOOKUP($B16,'Netvolumenmål gns.'!$A:$S,COLUMN('Netvolumenmål gns.'!C:C),FALSE)</f>
        <v>38.249770999999996</v>
      </c>
      <c r="D16" s="7">
        <f>VLOOKUP($B16,'Netvolumenmål gns.'!$A:$S,COLUMN('Netvolumenmål gns.'!D:D),FALSE)</f>
        <v>5.5356175995090511E-2</v>
      </c>
      <c r="E16" s="8">
        <f>VLOOKUP($B16,'Netvolumenmål gns.'!$A:$S,COLUMN('Netvolumenmål gns.'!E:E),FALSE)</f>
        <v>7133655.5709039867</v>
      </c>
      <c r="F16" s="8">
        <f>VLOOKUP($B16,'Netvolumenmål gns.'!$A:$S,COLUMN('Netvolumenmål gns.'!F:F),FALSE)</f>
        <v>12436661.224492269</v>
      </c>
      <c r="G16" s="8">
        <f>VLOOKUP($B16,'Netvolumenmål gns.'!$A:$S,COLUMN('Netvolumenmål gns.'!P:P),FALSE)</f>
        <v>11555059.31325</v>
      </c>
      <c r="H16" s="8">
        <f>VLOOKUP($B16,'Netvolumenmål gns.'!$A:$S,COLUMN('Netvolumenmål gns.'!Q:Q),FALSE)</f>
        <v>17614081.240598589</v>
      </c>
      <c r="I16" s="8">
        <f>VLOOKUP($B16,'Netvolumenmål gns.'!$A:$S,COLUMN('Netvolumenmål gns.'!R:R),FALSE)</f>
        <v>29169140.553848591</v>
      </c>
      <c r="J16" s="6">
        <v>38.249770999999996</v>
      </c>
      <c r="K16" s="7">
        <v>5.5356175995090511E-2</v>
      </c>
      <c r="L16" s="8">
        <v>7133655.5709039867</v>
      </c>
      <c r="M16" s="8">
        <v>12436661.224492269</v>
      </c>
      <c r="N16" s="8">
        <v>11555059.31325</v>
      </c>
      <c r="O16" s="8">
        <v>17614081.240598589</v>
      </c>
      <c r="P16" s="8">
        <v>29169140.553848591</v>
      </c>
      <c r="Q16" s="8">
        <f>VLOOKUP($B16,'Costdrivere gns.'!$A:$H,COLUMN('Costdrivere gns.'!C:C),FALSE)</f>
        <v>767584.35499999998</v>
      </c>
      <c r="R16" s="8">
        <f>VLOOKUP($B16,'Costdrivere gns.'!$A:$H,COLUMN('Costdrivere gns.'!D:D),FALSE)</f>
        <v>2149563.5249999999</v>
      </c>
      <c r="S16" s="8">
        <f>VLOOKUP($B16,'Costdrivere gns.'!$A:$H,COLUMN('Costdrivere gns.'!E:E),FALSE)</f>
        <v>220329.75</v>
      </c>
      <c r="T16" s="8">
        <f>VLOOKUP($B16,'Costdrivere gns.'!$A:$H,COLUMN('Costdrivere gns.'!F:F),FALSE)</f>
        <v>2437241.5499999998</v>
      </c>
      <c r="U16" s="8">
        <f>VLOOKUP($B16,'Costdrivere gns.'!$A:$H,COLUMN('Costdrivere gns.'!G:G),FALSE)</f>
        <v>1558936.385</v>
      </c>
      <c r="V16" s="8">
        <f>VLOOKUP(B16,'Costdrivere gns.'!$A$3:$H$77,COLUMN('Costdrivere gns.'!$H$2))</f>
        <v>1642630.08</v>
      </c>
      <c r="W16" s="8">
        <f>AVERAGE(VLOOKUP(B16,'Costdrivere 2024'!$A$3:$AC$77,COLUMN('Costdrivere 2024'!$AC$2),FALSE),VLOOKUP(B16,'Costdrivere 2025'!$A$3:$AC$77,COLUMN('Costdrivere 2025'!$AC$2),FALSE))</f>
        <v>2601860.3400464123</v>
      </c>
      <c r="X16" s="8">
        <f>AVERAGE(VLOOKUP(B16,'Costdrivere 2024'!$A$3:$AD$77,COLUMN('Costdrivere 2024'!$AD$2),FALSE),VLOOKUP(B16,'Costdrivere 2025'!$A$3:$AD$77,COLUMN('Costdrivere 2025'!$AD$2),FALSE))</f>
        <v>9175720.7347458564</v>
      </c>
      <c r="Y16" s="8">
        <v>767584.35499999998</v>
      </c>
      <c r="Z16" s="8">
        <v>2149563.5249999999</v>
      </c>
      <c r="AA16" s="8">
        <v>220329.75</v>
      </c>
      <c r="AB16" s="8">
        <v>2437241.5499999998</v>
      </c>
      <c r="AC16" s="8">
        <v>1558936.385</v>
      </c>
      <c r="AD16" s="8">
        <v>1642630.08</v>
      </c>
      <c r="AE16" s="8">
        <v>2601860.3400464123</v>
      </c>
      <c r="AF16" s="8">
        <v>9175720.7347458564</v>
      </c>
      <c r="AG16" s="8">
        <f>AVERAGE(VLOOKUP(B16,'Costdrivere 2024'!$A$3:$X$77,COLUMN('Costdrivere 2024'!X:X)),VLOOKUP(B16,'Costdrivere 2025'!$A$3:$X$77,COLUMN('Costdrivere 2025'!X:X)))</f>
        <v>1389084.5</v>
      </c>
      <c r="AH16" s="8">
        <f>AVERAGE(VLOOKUP(B16,'Costdrivere 2024'!$A$3:$Y$77,COLUMN('Costdrivere 2024'!Y:Y)),VLOOKUP(B16,'Costdrivere 2025'!$A$3:$Y$77,COLUMN('Costdrivere 2025'!Y:Y)))</f>
        <v>1510117.5</v>
      </c>
      <c r="AI16" s="8">
        <v>1389084.5</v>
      </c>
      <c r="AJ16" s="8">
        <v>1510117.5</v>
      </c>
    </row>
    <row r="17" spans="1:36" x14ac:dyDescent="0.25">
      <c r="A17" s="5" t="s">
        <v>14</v>
      </c>
      <c r="B17" s="5" t="s">
        <v>15</v>
      </c>
      <c r="C17" s="6">
        <f>VLOOKUP($B17,'Netvolumenmål gns.'!$A:$S,COLUMN('Netvolumenmål gns.'!C:C),FALSE)</f>
        <v>37.422630999999996</v>
      </c>
      <c r="D17" s="7">
        <f>VLOOKUP($B17,'Netvolumenmål gns.'!$A:$S,COLUMN('Netvolumenmål gns.'!D:D),FALSE)</f>
        <v>7.8436546472056751E-2</v>
      </c>
      <c r="E17" s="8">
        <f>VLOOKUP($B17,'Netvolumenmål gns.'!$A:$S,COLUMN('Netvolumenmål gns.'!E:E),FALSE)</f>
        <v>7806491.7759581432</v>
      </c>
      <c r="F17" s="8">
        <f>VLOOKUP($B17,'Netvolumenmål gns.'!$A:$S,COLUMN('Netvolumenmål gns.'!F:F),FALSE)</f>
        <v>12488318.222701006</v>
      </c>
      <c r="G17" s="8">
        <f>VLOOKUP($B17,'Netvolumenmål gns.'!$A:$S,COLUMN('Netvolumenmål gns.'!P:P),FALSE)</f>
        <v>12160768.90055</v>
      </c>
      <c r="H17" s="8">
        <f>VLOOKUP($B17,'Netvolumenmål gns.'!$A:$S,COLUMN('Netvolumenmål gns.'!Q:Q),FALSE)</f>
        <v>13334692.83268122</v>
      </c>
      <c r="I17" s="8">
        <f>VLOOKUP($B17,'Netvolumenmål gns.'!$A:$S,COLUMN('Netvolumenmål gns.'!R:R),FALSE)</f>
        <v>25495461.733231224</v>
      </c>
      <c r="J17" s="6">
        <v>37.422630999999996</v>
      </c>
      <c r="K17" s="7">
        <v>7.8436546472056751E-2</v>
      </c>
      <c r="L17" s="8">
        <v>7806491.7759581432</v>
      </c>
      <c r="M17" s="8">
        <v>12488318.222701006</v>
      </c>
      <c r="N17" s="8">
        <v>12160768.90055</v>
      </c>
      <c r="O17" s="8">
        <v>13334692.83268122</v>
      </c>
      <c r="P17" s="8">
        <v>25495461.733231224</v>
      </c>
      <c r="Q17" s="8">
        <f>VLOOKUP($B17,'Costdrivere gns.'!$A:$H,COLUMN('Costdrivere gns.'!C:C),FALSE)</f>
        <v>935129.22499999998</v>
      </c>
      <c r="R17" s="8">
        <f>VLOOKUP($B17,'Costdrivere gns.'!$A:$H,COLUMN('Costdrivere gns.'!D:D),FALSE)</f>
        <v>2600419.6949999998</v>
      </c>
      <c r="S17" s="8">
        <f>VLOOKUP($B17,'Costdrivere gns.'!$A:$H,COLUMN('Costdrivere gns.'!E:E),FALSE)</f>
        <v>195436.71</v>
      </c>
      <c r="T17" s="8">
        <f>VLOOKUP($B17,'Costdrivere gns.'!$A:$H,COLUMN('Costdrivere gns.'!F:F),FALSE)</f>
        <v>2593818.2050000001</v>
      </c>
      <c r="U17" s="8">
        <f>VLOOKUP($B17,'Costdrivere gns.'!$A:$H,COLUMN('Costdrivere gns.'!G:G),FALSE)</f>
        <v>1481687.94</v>
      </c>
      <c r="V17" s="8">
        <f>VLOOKUP(B17,'Costdrivere gns.'!$A$3:$H$77,COLUMN('Costdrivere gns.'!$H$2))</f>
        <v>1981070.0549999999</v>
      </c>
      <c r="W17" s="8">
        <f>AVERAGE(VLOOKUP(B17,'Costdrivere 2024'!$A$3:$AC$77,COLUMN('Costdrivere 2024'!$AC$2),FALSE),VLOOKUP(B17,'Costdrivere 2025'!$A$3:$AC$77,COLUMN('Costdrivere 2025'!$AC$2),FALSE))</f>
        <v>2279507.2962037041</v>
      </c>
      <c r="X17" s="8">
        <f>AVERAGE(VLOOKUP(B17,'Costdrivere 2024'!$A$3:$AD$77,COLUMN('Costdrivere 2024'!$AD$2),FALSE),VLOOKUP(B17,'Costdrivere 2025'!$A$3:$AD$77,COLUMN('Costdrivere 2025'!$AD$2),FALSE))</f>
        <v>9750738.9264973029</v>
      </c>
      <c r="Y17" s="8">
        <v>935129.22499999998</v>
      </c>
      <c r="Z17" s="8">
        <v>2600419.6949999998</v>
      </c>
      <c r="AA17" s="8">
        <v>195436.71</v>
      </c>
      <c r="AB17" s="8">
        <v>2593818.2050000001</v>
      </c>
      <c r="AC17" s="8">
        <v>1481687.94</v>
      </c>
      <c r="AD17" s="8">
        <v>1981070.0549999999</v>
      </c>
      <c r="AE17" s="8">
        <v>2279507.2962037041</v>
      </c>
      <c r="AF17" s="8">
        <v>9750738.9264973029</v>
      </c>
      <c r="AG17" s="8">
        <f>AVERAGE(VLOOKUP(B17,'Costdrivere 2024'!$A$3:$X$77,COLUMN('Costdrivere 2024'!X:X)),VLOOKUP(B17,'Costdrivere 2025'!$A$3:$X$77,COLUMN('Costdrivere 2025'!X:X)))</f>
        <v>1709528</v>
      </c>
      <c r="AH17" s="8">
        <f>AVERAGE(VLOOKUP(B17,'Costdrivere 2024'!$A$3:$Y$77,COLUMN('Costdrivere 2024'!Y:Y)),VLOOKUP(B17,'Costdrivere 2025'!$A$3:$Y$77,COLUMN('Costdrivere 2025'!Y:Y)))</f>
        <v>1875301.5</v>
      </c>
      <c r="AI17" s="8">
        <v>1709528</v>
      </c>
      <c r="AJ17" s="8">
        <v>1875301.5</v>
      </c>
    </row>
    <row r="18" spans="1:36" x14ac:dyDescent="0.25">
      <c r="A18" s="5" t="s">
        <v>131</v>
      </c>
      <c r="B18" s="5" t="s">
        <v>16</v>
      </c>
      <c r="C18" s="6">
        <f>VLOOKUP($B18,'Netvolumenmål gns.'!$A:$S,COLUMN('Netvolumenmål gns.'!C:C),FALSE)</f>
        <v>32.294424499999998</v>
      </c>
      <c r="D18" s="7">
        <f>VLOOKUP($B18,'Netvolumenmål gns.'!$A:$S,COLUMN('Netvolumenmål gns.'!D:D),FALSE)</f>
        <v>0.14175343725011247</v>
      </c>
      <c r="E18" s="8">
        <f>VLOOKUP($B18,'Netvolumenmål gns.'!$A:$S,COLUMN('Netvolumenmål gns.'!E:E),FALSE)</f>
        <v>11711706.80745876</v>
      </c>
      <c r="F18" s="8">
        <f>VLOOKUP($B18,'Netvolumenmål gns.'!$A:$S,COLUMN('Netvolumenmål gns.'!F:F),FALSE)</f>
        <v>16247279.368360184</v>
      </c>
      <c r="G18" s="8">
        <f>VLOOKUP($B18,'Netvolumenmål gns.'!$A:$S,COLUMN('Netvolumenmål gns.'!P:P),FALSE)</f>
        <v>22863385.5055</v>
      </c>
      <c r="H18" s="8">
        <f>VLOOKUP($B18,'Netvolumenmål gns.'!$A:$S,COLUMN('Netvolumenmål gns.'!Q:Q),FALSE)</f>
        <v>31456386.787511688</v>
      </c>
      <c r="I18" s="8">
        <f>VLOOKUP($B18,'Netvolumenmål gns.'!$A:$S,COLUMN('Netvolumenmål gns.'!R:R),FALSE)</f>
        <v>54319772.293011688</v>
      </c>
      <c r="J18" s="6">
        <v>32.294424499999998</v>
      </c>
      <c r="K18" s="7">
        <v>0.14175343725011247</v>
      </c>
      <c r="L18" s="8">
        <v>11711706.80745876</v>
      </c>
      <c r="M18" s="8">
        <v>16247279.368360184</v>
      </c>
      <c r="N18" s="8">
        <v>22863385.5055</v>
      </c>
      <c r="O18" s="8">
        <v>31456386.787511688</v>
      </c>
      <c r="P18" s="8">
        <v>54319772.293011688</v>
      </c>
      <c r="Q18" s="8">
        <f>VLOOKUP($B18,'Costdrivere gns.'!$A:$H,COLUMN('Costdrivere gns.'!C:C),FALSE)</f>
        <v>1560052.6</v>
      </c>
      <c r="R18" s="8">
        <f>VLOOKUP($B18,'Costdrivere gns.'!$A:$H,COLUMN('Costdrivere gns.'!D:D),FALSE)</f>
        <v>4156517.56</v>
      </c>
      <c r="S18" s="8">
        <f>VLOOKUP($B18,'Costdrivere gns.'!$A:$H,COLUMN('Costdrivere gns.'!E:E),FALSE)</f>
        <v>168184.15</v>
      </c>
      <c r="T18" s="8">
        <f>VLOOKUP($B18,'Costdrivere gns.'!$A:$H,COLUMN('Costdrivere gns.'!F:F),FALSE)</f>
        <v>3883509.5249999999</v>
      </c>
      <c r="U18" s="8">
        <f>VLOOKUP($B18,'Costdrivere gns.'!$A:$H,COLUMN('Costdrivere gns.'!G:G),FALSE)</f>
        <v>1943442.97</v>
      </c>
      <c r="V18" s="8">
        <f>VLOOKUP(B18,'Costdrivere gns.'!$A$3:$H$77,COLUMN('Costdrivere gns.'!$H$2))</f>
        <v>3723396.4049999998</v>
      </c>
      <c r="W18" s="8">
        <f>AVERAGE(VLOOKUP(B18,'Costdrivere 2024'!$A$3:$AC$77,COLUMN('Costdrivere 2024'!$AC$2),FALSE),VLOOKUP(B18,'Costdrivere 2025'!$A$3:$AC$77,COLUMN('Costdrivere 2025'!$AC$2),FALSE))</f>
        <v>2170742.0231061252</v>
      </c>
      <c r="X18" s="8">
        <f>AVERAGE(VLOOKUP(B18,'Costdrivere 2024'!$A$3:$AD$77,COLUMN('Costdrivere 2024'!$AD$2),FALSE),VLOOKUP(B18,'Costdrivere 2025'!$A$3:$AD$77,COLUMN('Costdrivere 2025'!$AD$2),FALSE))</f>
        <v>12181897.01935406</v>
      </c>
      <c r="Y18" s="8">
        <v>1560052.6</v>
      </c>
      <c r="Z18" s="8">
        <v>4156517.56</v>
      </c>
      <c r="AA18" s="8">
        <v>168184.15</v>
      </c>
      <c r="AB18" s="8">
        <v>3883509.5249999999</v>
      </c>
      <c r="AC18" s="8">
        <v>1943442.97</v>
      </c>
      <c r="AD18" s="8">
        <v>3723396.4049999998</v>
      </c>
      <c r="AE18" s="8">
        <v>2170742.0231061252</v>
      </c>
      <c r="AF18" s="8">
        <v>12181897.01935406</v>
      </c>
      <c r="AG18" s="8">
        <f>AVERAGE(VLOOKUP(B18,'Costdrivere 2024'!$A$3:$X$77,COLUMN('Costdrivere 2024'!X:X)),VLOOKUP(B18,'Costdrivere 2025'!$A$3:$X$77,COLUMN('Costdrivere 2025'!X:X)))</f>
        <v>3452623.5</v>
      </c>
      <c r="AH18" s="8">
        <f>AVERAGE(VLOOKUP(B18,'Costdrivere 2024'!$A$3:$Y$77,COLUMN('Costdrivere 2024'!Y:Y)),VLOOKUP(B18,'Costdrivere 2025'!$A$3:$Y$77,COLUMN('Costdrivere 2025'!Y:Y)))</f>
        <v>3135708</v>
      </c>
      <c r="AI18" s="8">
        <v>3452623.5</v>
      </c>
      <c r="AJ18" s="8">
        <v>3135708</v>
      </c>
    </row>
    <row r="19" spans="1:36" x14ac:dyDescent="0.25">
      <c r="A19" s="5" t="s">
        <v>132</v>
      </c>
      <c r="B19" s="5" t="s">
        <v>17</v>
      </c>
      <c r="C19" s="6">
        <f>VLOOKUP($B19,'Netvolumenmål gns.'!$A:$S,COLUMN('Netvolumenmål gns.'!C:C),FALSE)</f>
        <v>29.5431335</v>
      </c>
      <c r="D19" s="7">
        <f>VLOOKUP($B19,'Netvolumenmål gns.'!$A:$S,COLUMN('Netvolumenmål gns.'!D:D),FALSE)</f>
        <v>0.18067459657634161</v>
      </c>
      <c r="E19" s="8">
        <f>VLOOKUP($B19,'Netvolumenmål gns.'!$A:$S,COLUMN('Netvolumenmål gns.'!E:E),FALSE)</f>
        <v>8297303.5190325491</v>
      </c>
      <c r="F19" s="8">
        <f>VLOOKUP($B19,'Netvolumenmål gns.'!$A:$S,COLUMN('Netvolumenmål gns.'!F:F),FALSE)</f>
        <v>11598538.120478187</v>
      </c>
      <c r="G19" s="8">
        <f>VLOOKUP($B19,'Netvolumenmål gns.'!$A:$S,COLUMN('Netvolumenmål gns.'!P:P),FALSE)</f>
        <v>16527993.69815</v>
      </c>
      <c r="H19" s="8">
        <f>VLOOKUP($B19,'Netvolumenmål gns.'!$A:$S,COLUMN('Netvolumenmål gns.'!Q:Q),FALSE)</f>
        <v>28309343.82616568</v>
      </c>
      <c r="I19" s="8">
        <f>VLOOKUP($B19,'Netvolumenmål gns.'!$A:$S,COLUMN('Netvolumenmål gns.'!R:R),FALSE)</f>
        <v>44837337.524315685</v>
      </c>
      <c r="J19" s="6">
        <v>29.5431335</v>
      </c>
      <c r="K19" s="7">
        <v>0.18067459657634161</v>
      </c>
      <c r="L19" s="8">
        <v>8297303.5190325491</v>
      </c>
      <c r="M19" s="8">
        <v>11598538.120478187</v>
      </c>
      <c r="N19" s="8">
        <v>16527993.69815</v>
      </c>
      <c r="O19" s="8">
        <v>28309343.82616568</v>
      </c>
      <c r="P19" s="8">
        <v>44837337.524315685</v>
      </c>
      <c r="Q19" s="8">
        <f>VLOOKUP($B19,'Costdrivere gns.'!$A:$H,COLUMN('Costdrivere gns.'!C:C),FALSE)</f>
        <v>802348.78</v>
      </c>
      <c r="R19" s="8">
        <f>VLOOKUP($B19,'Costdrivere gns.'!$A:$H,COLUMN('Costdrivere gns.'!D:D),FALSE)</f>
        <v>2450583.46</v>
      </c>
      <c r="S19" s="8">
        <f>VLOOKUP($B19,'Costdrivere gns.'!$A:$H,COLUMN('Costdrivere gns.'!E:E),FALSE)</f>
        <v>266068.34999999998</v>
      </c>
      <c r="T19" s="8">
        <f>VLOOKUP($B19,'Costdrivere gns.'!$A:$H,COLUMN('Costdrivere gns.'!F:F),FALSE)</f>
        <v>3255490.2650000001</v>
      </c>
      <c r="U19" s="8">
        <f>VLOOKUP($B19,'Costdrivere gns.'!$A:$H,COLUMN('Costdrivere gns.'!G:G),FALSE)</f>
        <v>1522812.665</v>
      </c>
      <c r="V19" s="8">
        <f>VLOOKUP(B19,'Costdrivere gns.'!$A$3:$H$77,COLUMN('Costdrivere gns.'!$H$2))</f>
        <v>3691651.9750000001</v>
      </c>
      <c r="W19" s="8">
        <f>AVERAGE(VLOOKUP(B19,'Costdrivere 2024'!$A$3:$AC$77,COLUMN('Costdrivere 2024'!$AC$2),FALSE),VLOOKUP(B19,'Costdrivere 2025'!$A$3:$AC$77,COLUMN('Costdrivere 2025'!$AC$2),FALSE))</f>
        <v>1237251.6971937884</v>
      </c>
      <c r="X19" s="8">
        <f>AVERAGE(VLOOKUP(B19,'Costdrivere 2024'!$A$3:$AD$77,COLUMN('Costdrivere 2024'!$AD$2),FALSE),VLOOKUP(B19,'Costdrivere 2025'!$A$3:$AD$77,COLUMN('Costdrivere 2025'!$AD$2),FALSE))</f>
        <v>8855555.0107843988</v>
      </c>
      <c r="Y19" s="8">
        <v>802348.78</v>
      </c>
      <c r="Z19" s="8">
        <v>2450583.46</v>
      </c>
      <c r="AA19" s="8">
        <v>266068.34999999998</v>
      </c>
      <c r="AB19" s="8">
        <v>3255490.2650000001</v>
      </c>
      <c r="AC19" s="8">
        <v>1522812.665</v>
      </c>
      <c r="AD19" s="8">
        <v>3691651.9750000001</v>
      </c>
      <c r="AE19" s="8">
        <v>1237251.6971937884</v>
      </c>
      <c r="AF19" s="8">
        <v>8855555.0107843988</v>
      </c>
      <c r="AG19" s="8">
        <f>AVERAGE(VLOOKUP(B19,'Costdrivere 2024'!$A$3:$X$77,COLUMN('Costdrivere 2024'!X:X)),VLOOKUP(B19,'Costdrivere 2025'!$A$3:$X$77,COLUMN('Costdrivere 2025'!X:X)))</f>
        <v>3419029</v>
      </c>
      <c r="AH19" s="8">
        <f>AVERAGE(VLOOKUP(B19,'Costdrivere 2024'!$A$3:$Y$77,COLUMN('Costdrivere 2024'!Y:Y)),VLOOKUP(B19,'Costdrivere 2025'!$A$3:$Y$77,COLUMN('Costdrivere 2025'!Y:Y)))</f>
        <v>1308114</v>
      </c>
      <c r="AI19" s="8">
        <v>3419029</v>
      </c>
      <c r="AJ19" s="8">
        <v>1308114</v>
      </c>
    </row>
    <row r="20" spans="1:36" x14ac:dyDescent="0.25">
      <c r="A20" s="5" t="s">
        <v>175</v>
      </c>
      <c r="B20" s="5" t="s">
        <v>18</v>
      </c>
      <c r="C20" s="6">
        <f>VLOOKUP($B20,'Netvolumenmål gns.'!$A:$S,COLUMN('Netvolumenmål gns.'!C:C),FALSE)</f>
        <v>34.482867999999996</v>
      </c>
      <c r="D20" s="7">
        <f>VLOOKUP($B20,'Netvolumenmål gns.'!$A:$S,COLUMN('Netvolumenmål gns.'!D:D),FALSE)</f>
        <v>0.14918187524966997</v>
      </c>
      <c r="E20" s="8">
        <f>VLOOKUP($B20,'Netvolumenmål gns.'!$A:$S,COLUMN('Netvolumenmål gns.'!E:E),FALSE)</f>
        <v>4749510.7290849425</v>
      </c>
      <c r="F20" s="8">
        <f>VLOOKUP($B20,'Netvolumenmål gns.'!$A:$S,COLUMN('Netvolumenmål gns.'!F:F),FALSE)</f>
        <v>6493977.6017413074</v>
      </c>
      <c r="G20" s="8">
        <f>VLOOKUP($B20,'Netvolumenmål gns.'!$A:$S,COLUMN('Netvolumenmål gns.'!P:P),FALSE)</f>
        <v>6466201.5501000006</v>
      </c>
      <c r="H20" s="8">
        <f>VLOOKUP($B20,'Netvolumenmål gns.'!$A:$S,COLUMN('Netvolumenmål gns.'!Q:Q),FALSE)</f>
        <v>7880496.1210418642</v>
      </c>
      <c r="I20" s="8">
        <f>VLOOKUP($B20,'Netvolumenmål gns.'!$A:$S,COLUMN('Netvolumenmål gns.'!R:R),FALSE)</f>
        <v>14346697.671141865</v>
      </c>
      <c r="J20" s="6">
        <v>34.482867999999996</v>
      </c>
      <c r="K20" s="7">
        <v>0.14918187524966997</v>
      </c>
      <c r="L20" s="8">
        <v>4749510.7290849425</v>
      </c>
      <c r="M20" s="8">
        <v>6493977.6017413074</v>
      </c>
      <c r="N20" s="8">
        <v>6466201.5501000006</v>
      </c>
      <c r="O20" s="8">
        <v>7880496.1210418642</v>
      </c>
      <c r="P20" s="8">
        <v>14346697.671141865</v>
      </c>
      <c r="Q20" s="8">
        <f>VLOOKUP($B20,'Costdrivere gns.'!$A:$H,COLUMN('Costdrivere gns.'!C:C),FALSE)</f>
        <v>681731.64</v>
      </c>
      <c r="R20" s="8">
        <f>VLOOKUP($B20,'Costdrivere gns.'!$A:$H,COLUMN('Costdrivere gns.'!D:D),FALSE)</f>
        <v>2011028.4450000001</v>
      </c>
      <c r="S20" s="8">
        <f>VLOOKUP($B20,'Costdrivere gns.'!$A:$H,COLUMN('Costdrivere gns.'!E:E),FALSE)</f>
        <v>0</v>
      </c>
      <c r="T20" s="8">
        <f>VLOOKUP($B20,'Costdrivere gns.'!$A:$H,COLUMN('Costdrivere gns.'!F:F),FALSE)</f>
        <v>1483637.355</v>
      </c>
      <c r="U20" s="8">
        <f>VLOOKUP($B20,'Costdrivere gns.'!$A:$H,COLUMN('Costdrivere gns.'!G:G),FALSE)</f>
        <v>573113.29500000004</v>
      </c>
      <c r="V20" s="8">
        <f>VLOOKUP(B20,'Costdrivere gns.'!$A$3:$H$77,COLUMN('Costdrivere gns.'!$H$2))</f>
        <v>1580438.8049999999</v>
      </c>
      <c r="W20" s="8">
        <f>AVERAGE(VLOOKUP(B20,'Costdrivere 2024'!$A$3:$AC$77,COLUMN('Costdrivere 2024'!$AC$2),FALSE),VLOOKUP(B20,'Costdrivere 2025'!$A$3:$AC$77,COLUMN('Costdrivere 2025'!$AC$2),FALSE))</f>
        <v>1676605.5742601696</v>
      </c>
      <c r="X20" s="8">
        <f>AVERAGE(VLOOKUP(B20,'Costdrivere 2024'!$A$3:$AD$77,COLUMN('Costdrivere 2024'!$AD$2),FALSE),VLOOKUP(B20,'Costdrivere 2025'!$A$3:$AD$77,COLUMN('Costdrivere 2025'!$AD$2),FALSE))</f>
        <v>4077372.0274811373</v>
      </c>
      <c r="Y20" s="8">
        <v>681731.64</v>
      </c>
      <c r="Z20" s="8">
        <v>2011028.4450000001</v>
      </c>
      <c r="AA20" s="8">
        <v>0</v>
      </c>
      <c r="AB20" s="8">
        <v>1483637.355</v>
      </c>
      <c r="AC20" s="8">
        <v>573113.29500000004</v>
      </c>
      <c r="AD20" s="8">
        <v>1580438.8049999999</v>
      </c>
      <c r="AE20" s="8">
        <v>1676605.5742601696</v>
      </c>
      <c r="AF20" s="8">
        <v>4077372.0274811373</v>
      </c>
      <c r="AG20" s="8">
        <f>AVERAGE(VLOOKUP(B20,'Costdrivere 2024'!$A$3:$X$77,COLUMN('Costdrivere 2024'!X:X)),VLOOKUP(B20,'Costdrivere 2025'!$A$3:$X$77,COLUMN('Costdrivere 2025'!X:X)))</f>
        <v>1329289</v>
      </c>
      <c r="AH20" s="8">
        <f>AVERAGE(VLOOKUP(B20,'Costdrivere 2024'!$A$3:$Y$77,COLUMN('Costdrivere 2024'!Y:Y)),VLOOKUP(B20,'Costdrivere 2025'!$A$3:$Y$77,COLUMN('Costdrivere 2025'!Y:Y)))</f>
        <v>1397907</v>
      </c>
      <c r="AI20" s="8">
        <v>1329289</v>
      </c>
      <c r="AJ20" s="8">
        <v>1397907</v>
      </c>
    </row>
    <row r="21" spans="1:36" x14ac:dyDescent="0.25">
      <c r="A21" s="5" t="s">
        <v>133</v>
      </c>
      <c r="B21" s="5" t="s">
        <v>19</v>
      </c>
      <c r="C21" s="6">
        <f>VLOOKUP($B21,'Netvolumenmål gns.'!$A:$S,COLUMN('Netvolumenmål gns.'!C:C),FALSE)</f>
        <v>37.046154000000001</v>
      </c>
      <c r="D21" s="7">
        <f>VLOOKUP($B21,'Netvolumenmål gns.'!$A:$S,COLUMN('Netvolumenmål gns.'!D:D),FALSE)</f>
        <v>5.8413644525194333E-2</v>
      </c>
      <c r="E21" s="8">
        <f>VLOOKUP($B21,'Netvolumenmål gns.'!$A:$S,COLUMN('Netvolumenmål gns.'!E:E),FALSE)</f>
        <v>9462259.4140625205</v>
      </c>
      <c r="F21" s="8">
        <f>VLOOKUP($B21,'Netvolumenmål gns.'!$A:$S,COLUMN('Netvolumenmål gns.'!F:F),FALSE)</f>
        <v>25250006.198951356</v>
      </c>
      <c r="G21" s="8">
        <f>VLOOKUP($B21,'Netvolumenmål gns.'!$A:$S,COLUMN('Netvolumenmål gns.'!P:P),FALSE)</f>
        <v>11541966.79685</v>
      </c>
      <c r="H21" s="8">
        <f>VLOOKUP($B21,'Netvolumenmål gns.'!$A:$S,COLUMN('Netvolumenmål gns.'!Q:Q),FALSE)</f>
        <v>16206985.968172546</v>
      </c>
      <c r="I21" s="8">
        <f>VLOOKUP($B21,'Netvolumenmål gns.'!$A:$S,COLUMN('Netvolumenmål gns.'!R:R),FALSE)</f>
        <v>27748952.765022546</v>
      </c>
      <c r="J21" s="6">
        <v>37.046154000000001</v>
      </c>
      <c r="K21" s="7">
        <v>5.8413644525194333E-2</v>
      </c>
      <c r="L21" s="8">
        <v>9462259.4140625205</v>
      </c>
      <c r="M21" s="8">
        <v>25250006.198951356</v>
      </c>
      <c r="N21" s="8">
        <v>11541966.79685</v>
      </c>
      <c r="O21" s="8">
        <v>16206985.968172546</v>
      </c>
      <c r="P21" s="8">
        <v>27748952.765022546</v>
      </c>
      <c r="Q21" s="8">
        <f>VLOOKUP($B21,'Costdrivere gns.'!$A:$H,COLUMN('Costdrivere gns.'!C:C),FALSE)</f>
        <v>888034.17</v>
      </c>
      <c r="R21" s="8">
        <f>VLOOKUP($B21,'Costdrivere gns.'!$A:$H,COLUMN('Costdrivere gns.'!D:D),FALSE)</f>
        <v>2632723.9249999998</v>
      </c>
      <c r="S21" s="8">
        <f>VLOOKUP($B21,'Costdrivere gns.'!$A:$H,COLUMN('Costdrivere gns.'!E:E),FALSE)</f>
        <v>176723.75</v>
      </c>
      <c r="T21" s="8">
        <f>VLOOKUP($B21,'Costdrivere gns.'!$A:$H,COLUMN('Costdrivere gns.'!F:F),FALSE)</f>
        <v>4180466.77</v>
      </c>
      <c r="U21" s="8">
        <f>VLOOKUP($B21,'Costdrivere gns.'!$A:$H,COLUMN('Costdrivere gns.'!G:G),FALSE)</f>
        <v>1584310.8049999999</v>
      </c>
      <c r="V21" s="8">
        <f>VLOOKUP(B21,'Costdrivere gns.'!$A$3:$H$77,COLUMN('Costdrivere gns.'!$H$2))</f>
        <v>2182661.4750000001</v>
      </c>
      <c r="W21" s="8">
        <f>AVERAGE(VLOOKUP(B21,'Costdrivere 2024'!$A$3:$AC$77,COLUMN('Costdrivere 2024'!$AC$2),FALSE),VLOOKUP(B21,'Costdrivere 2025'!$A$3:$AC$77,COLUMN('Costdrivere 2025'!$AC$2),FALSE))</f>
        <v>3276809.0993917771</v>
      </c>
      <c r="X21" s="8">
        <f>AVERAGE(VLOOKUP(B21,'Costdrivere 2024'!$A$3:$AD$77,COLUMN('Costdrivere 2024'!$AD$2),FALSE),VLOOKUP(B21,'Costdrivere 2025'!$A$3:$AD$77,COLUMN('Costdrivere 2025'!$AD$2),FALSE))</f>
        <v>21482941.599559579</v>
      </c>
      <c r="Y21" s="8">
        <v>888034.17</v>
      </c>
      <c r="Z21" s="8">
        <v>2632723.9249999998</v>
      </c>
      <c r="AA21" s="8">
        <v>176723.75</v>
      </c>
      <c r="AB21" s="8">
        <v>4180466.77</v>
      </c>
      <c r="AC21" s="8">
        <v>1584310.8049999999</v>
      </c>
      <c r="AD21" s="8">
        <v>2182661.4750000001</v>
      </c>
      <c r="AE21" s="8">
        <v>3276809.0993917771</v>
      </c>
      <c r="AF21" s="8">
        <v>21482941.599559579</v>
      </c>
      <c r="AG21" s="8">
        <f>AVERAGE(VLOOKUP(B21,'Costdrivere 2024'!$A$3:$X$77,COLUMN('Costdrivere 2024'!X:X)),VLOOKUP(B21,'Costdrivere 2025'!$A$3:$X$77,COLUMN('Costdrivere 2025'!X:X)))</f>
        <v>1904363</v>
      </c>
      <c r="AH21" s="8">
        <f>AVERAGE(VLOOKUP(B21,'Costdrivere 2024'!$A$3:$Y$77,COLUMN('Costdrivere 2024'!Y:Y)),VLOOKUP(B21,'Costdrivere 2025'!$A$3:$Y$77,COLUMN('Costdrivere 2025'!Y:Y)))</f>
        <v>1849979.5</v>
      </c>
      <c r="AI21" s="8">
        <v>1904363</v>
      </c>
      <c r="AJ21" s="8">
        <v>1849979.5</v>
      </c>
    </row>
    <row r="22" spans="1:36" x14ac:dyDescent="0.25">
      <c r="A22" s="5" t="s">
        <v>134</v>
      </c>
      <c r="B22" s="5" t="s">
        <v>20</v>
      </c>
      <c r="C22" s="6">
        <f>VLOOKUP($B22,'Netvolumenmål gns.'!$A:$S,COLUMN('Netvolumenmål gns.'!C:C),FALSE)</f>
        <v>37.208398500000001</v>
      </c>
      <c r="D22" s="7">
        <f>VLOOKUP($B22,'Netvolumenmål gns.'!$A:$S,COLUMN('Netvolumenmål gns.'!D:D),FALSE)</f>
        <v>2.8194174007508593E-2</v>
      </c>
      <c r="E22" s="8">
        <f>VLOOKUP($B22,'Netvolumenmål gns.'!$A:$S,COLUMN('Netvolumenmål gns.'!E:E),FALSE)</f>
        <v>4426481.1577500133</v>
      </c>
      <c r="F22" s="8">
        <f>VLOOKUP($B22,'Netvolumenmål gns.'!$A:$S,COLUMN('Netvolumenmål gns.'!F:F),FALSE)</f>
        <v>7918813.3087010179</v>
      </c>
      <c r="G22" s="8">
        <f>VLOOKUP($B22,'Netvolumenmål gns.'!$A:$S,COLUMN('Netvolumenmål gns.'!P:P),FALSE)</f>
        <v>8264880.6140000001</v>
      </c>
      <c r="H22" s="8">
        <f>VLOOKUP($B22,'Netvolumenmål gns.'!$A:$S,COLUMN('Netvolumenmål gns.'!Q:Q),FALSE)</f>
        <v>7084227.046215564</v>
      </c>
      <c r="I22" s="8">
        <f>VLOOKUP($B22,'Netvolumenmål gns.'!$A:$S,COLUMN('Netvolumenmål gns.'!R:R),FALSE)</f>
        <v>15349107.660215564</v>
      </c>
      <c r="J22" s="6">
        <v>37.208398500000001</v>
      </c>
      <c r="K22" s="7">
        <v>2.8194174007508593E-2</v>
      </c>
      <c r="L22" s="8">
        <v>4426481.1577500133</v>
      </c>
      <c r="M22" s="8">
        <v>7918813.3087010179</v>
      </c>
      <c r="N22" s="8">
        <v>8264880.6140000001</v>
      </c>
      <c r="O22" s="8">
        <v>7084227.046215564</v>
      </c>
      <c r="P22" s="8">
        <v>15349107.660215564</v>
      </c>
      <c r="Q22" s="8">
        <f>VLOOKUP($B22,'Costdrivere gns.'!$A:$H,COLUMN('Costdrivere gns.'!C:C),FALSE)</f>
        <v>648079.74</v>
      </c>
      <c r="R22" s="8">
        <f>VLOOKUP($B22,'Costdrivere gns.'!$A:$H,COLUMN('Costdrivere gns.'!D:D),FALSE)</f>
        <v>2052736.28</v>
      </c>
      <c r="S22" s="8">
        <f>VLOOKUP($B22,'Costdrivere gns.'!$A:$H,COLUMN('Costdrivere gns.'!E:E),FALSE)</f>
        <v>87447.75</v>
      </c>
      <c r="T22" s="8">
        <f>VLOOKUP($B22,'Costdrivere gns.'!$A:$H,COLUMN('Costdrivere gns.'!F:F),FALSE)</f>
        <v>938047.62</v>
      </c>
      <c r="U22" s="8">
        <f>VLOOKUP($B22,'Costdrivere gns.'!$A:$H,COLUMN('Costdrivere gns.'!G:G),FALSE)</f>
        <v>700169.76500000001</v>
      </c>
      <c r="V22" s="8">
        <f>VLOOKUP(B22,'Costdrivere gns.'!$A$3:$H$77,COLUMN('Costdrivere gns.'!$H$2))</f>
        <v>1428612.675</v>
      </c>
      <c r="W22" s="8">
        <f>AVERAGE(VLOOKUP(B22,'Costdrivere 2024'!$A$3:$AC$77,COLUMN('Costdrivere 2024'!$AC$2),FALSE),VLOOKUP(B22,'Costdrivere 2025'!$A$3:$AC$77,COLUMN('Costdrivere 2025'!$AC$2),FALSE))</f>
        <v>2249253.8421076857</v>
      </c>
      <c r="X22" s="8">
        <f>AVERAGE(VLOOKUP(B22,'Costdrivere 2024'!$A$3:$AD$77,COLUMN('Costdrivere 2024'!$AD$2),FALSE),VLOOKUP(B22,'Costdrivere 2025'!$A$3:$AD$77,COLUMN('Costdrivere 2025'!$AD$2),FALSE))</f>
        <v>5634559.4665933326</v>
      </c>
      <c r="Y22" s="8">
        <v>648079.74</v>
      </c>
      <c r="Z22" s="8">
        <v>2052736.28</v>
      </c>
      <c r="AA22" s="8">
        <v>87447.75</v>
      </c>
      <c r="AB22" s="8">
        <v>938047.62</v>
      </c>
      <c r="AC22" s="8">
        <v>700169.76500000001</v>
      </c>
      <c r="AD22" s="8">
        <v>1428612.675</v>
      </c>
      <c r="AE22" s="8">
        <v>2249253.8421076857</v>
      </c>
      <c r="AF22" s="8">
        <v>5634559.4665933326</v>
      </c>
      <c r="AG22" s="8">
        <f>AVERAGE(VLOOKUP(B22,'Costdrivere 2024'!$A$3:$X$77,COLUMN('Costdrivere 2024'!X:X)),VLOOKUP(B22,'Costdrivere 2025'!$A$3:$X$77,COLUMN('Costdrivere 2025'!X:X)))</f>
        <v>1209365</v>
      </c>
      <c r="AH22" s="8">
        <f>AVERAGE(VLOOKUP(B22,'Costdrivere 2024'!$A$3:$Y$77,COLUMN('Costdrivere 2024'!Y:Y)),VLOOKUP(B22,'Costdrivere 2025'!$A$3:$Y$77,COLUMN('Costdrivere 2025'!Y:Y)))</f>
        <v>1236750.5</v>
      </c>
      <c r="AI22" s="8">
        <v>1209365</v>
      </c>
      <c r="AJ22" s="8">
        <v>1236750.5</v>
      </c>
    </row>
    <row r="23" spans="1:36" x14ac:dyDescent="0.25">
      <c r="A23" s="5" t="s">
        <v>176</v>
      </c>
      <c r="B23" s="5" t="s">
        <v>21</v>
      </c>
      <c r="C23" s="6">
        <f>VLOOKUP($B23,'Netvolumenmål gns.'!$A:$S,COLUMN('Netvolumenmål gns.'!C:C),FALSE)</f>
        <v>37.452380500000004</v>
      </c>
      <c r="D23" s="7">
        <f>VLOOKUP($B23,'Netvolumenmål gns.'!$A:$S,COLUMN('Netvolumenmål gns.'!D:D),FALSE)</f>
        <v>7.2069658786979074E-2</v>
      </c>
      <c r="E23" s="8">
        <f>VLOOKUP($B23,'Netvolumenmål gns.'!$A:$S,COLUMN('Netvolumenmål gns.'!E:E),FALSE)</f>
        <v>6050416.5383295584</v>
      </c>
      <c r="F23" s="8">
        <f>VLOOKUP($B23,'Netvolumenmål gns.'!$A:$S,COLUMN('Netvolumenmål gns.'!F:F),FALSE)</f>
        <v>12532902.285816519</v>
      </c>
      <c r="G23" s="8">
        <f>VLOOKUP($B23,'Netvolumenmål gns.'!$A:$S,COLUMN('Netvolumenmål gns.'!P:P),FALSE)</f>
        <v>9780014.1282499991</v>
      </c>
      <c r="H23" s="8">
        <f>VLOOKUP($B23,'Netvolumenmål gns.'!$A:$S,COLUMN('Netvolumenmål gns.'!Q:Q),FALSE)</f>
        <v>13421831.840968002</v>
      </c>
      <c r="I23" s="8">
        <f>VLOOKUP($B23,'Netvolumenmål gns.'!$A:$S,COLUMN('Netvolumenmål gns.'!R:R),FALSE)</f>
        <v>23201845.969218001</v>
      </c>
      <c r="J23" s="6">
        <v>37.452380500000004</v>
      </c>
      <c r="K23" s="7">
        <v>7.2069658786979074E-2</v>
      </c>
      <c r="L23" s="8">
        <v>6050416.5383295584</v>
      </c>
      <c r="M23" s="8">
        <v>12532902.285816519</v>
      </c>
      <c r="N23" s="8">
        <v>9780014.1282499991</v>
      </c>
      <c r="O23" s="8">
        <v>13421831.840968002</v>
      </c>
      <c r="P23" s="8">
        <v>23201845.969218001</v>
      </c>
      <c r="Q23" s="8">
        <f>VLOOKUP($B23,'Costdrivere gns.'!$A:$H,COLUMN('Costdrivere gns.'!C:C),FALSE)</f>
        <v>685749.83</v>
      </c>
      <c r="R23" s="8">
        <f>VLOOKUP($B23,'Costdrivere gns.'!$A:$H,COLUMN('Costdrivere gns.'!D:D),FALSE)</f>
        <v>1992781.06</v>
      </c>
      <c r="S23" s="8">
        <f>VLOOKUP($B23,'Costdrivere gns.'!$A:$H,COLUMN('Costdrivere gns.'!E:E),FALSE)</f>
        <v>0</v>
      </c>
      <c r="T23" s="8">
        <f>VLOOKUP($B23,'Costdrivere gns.'!$A:$H,COLUMN('Costdrivere gns.'!F:F),FALSE)</f>
        <v>2025916.21</v>
      </c>
      <c r="U23" s="8">
        <f>VLOOKUP($B23,'Costdrivere gns.'!$A:$H,COLUMN('Costdrivere gns.'!G:G),FALSE)</f>
        <v>1345969.44</v>
      </c>
      <c r="V23" s="8">
        <f>VLOOKUP(B23,'Costdrivere gns.'!$A$3:$H$77,COLUMN('Costdrivere gns.'!$H$2))</f>
        <v>1498796.9550000001</v>
      </c>
      <c r="W23" s="8">
        <f>AVERAGE(VLOOKUP(B23,'Costdrivere 2024'!$A$3:$AC$77,COLUMN('Costdrivere 2024'!$AC$2),FALSE),VLOOKUP(B23,'Costdrivere 2025'!$A$3:$AC$77,COLUMN('Costdrivere 2025'!$AC$2),FALSE))</f>
        <v>3842274.0958165182</v>
      </c>
      <c r="X23" s="8">
        <f>AVERAGE(VLOOKUP(B23,'Costdrivere 2024'!$A$3:$AD$77,COLUMN('Costdrivere 2024'!$AD$2),FALSE),VLOOKUP(B23,'Costdrivere 2025'!$A$3:$AD$77,COLUMN('Costdrivere 2025'!$AD$2),FALSE))</f>
        <v>8525628.1900000013</v>
      </c>
      <c r="Y23" s="8">
        <v>685749.83</v>
      </c>
      <c r="Z23" s="8">
        <v>1992781.06</v>
      </c>
      <c r="AA23" s="8">
        <v>0</v>
      </c>
      <c r="AB23" s="8">
        <v>2025916.21</v>
      </c>
      <c r="AC23" s="8">
        <v>1345969.44</v>
      </c>
      <c r="AD23" s="8">
        <v>1498796.9550000001</v>
      </c>
      <c r="AE23" s="8">
        <v>3842274.0958165182</v>
      </c>
      <c r="AF23" s="8">
        <v>8525628.1900000013</v>
      </c>
      <c r="AG23" s="8">
        <f>AVERAGE(VLOOKUP(B23,'Costdrivere 2024'!$A$3:$X$77,COLUMN('Costdrivere 2024'!X:X)),VLOOKUP(B23,'Costdrivere 2025'!$A$3:$X$77,COLUMN('Costdrivere 2025'!X:X)))</f>
        <v>1253018.5</v>
      </c>
      <c r="AH23" s="8">
        <f>AVERAGE(VLOOKUP(B23,'Costdrivere 2024'!$A$3:$Y$77,COLUMN('Costdrivere 2024'!Y:Y)),VLOOKUP(B23,'Costdrivere 2025'!$A$3:$Y$77,COLUMN('Costdrivere 2025'!Y:Y)))</f>
        <v>1383127</v>
      </c>
      <c r="AI23" s="8">
        <v>1253018.5</v>
      </c>
      <c r="AJ23" s="8">
        <v>1383127</v>
      </c>
    </row>
    <row r="24" spans="1:36" x14ac:dyDescent="0.25">
      <c r="A24" s="5" t="s">
        <v>177</v>
      </c>
      <c r="B24" s="5" t="s">
        <v>22</v>
      </c>
      <c r="C24" s="6">
        <f>VLOOKUP($B24,'Netvolumenmål gns.'!$A:$S,COLUMN('Netvolumenmål gns.'!C:C),FALSE)</f>
        <v>34.085864999999998</v>
      </c>
      <c r="D24" s="7">
        <f>VLOOKUP($B24,'Netvolumenmål gns.'!$A:$S,COLUMN('Netvolumenmål gns.'!D:D),FALSE)</f>
        <v>4.8939863155620045E-2</v>
      </c>
      <c r="E24" s="8">
        <f>VLOOKUP($B24,'Netvolumenmål gns.'!$A:$S,COLUMN('Netvolumenmål gns.'!E:E),FALSE)</f>
        <v>9163382.1377686448</v>
      </c>
      <c r="F24" s="8">
        <f>VLOOKUP($B24,'Netvolumenmål gns.'!$A:$S,COLUMN('Netvolumenmål gns.'!F:F),FALSE)</f>
        <v>14644771.225977205</v>
      </c>
      <c r="G24" s="8">
        <f>VLOOKUP($B24,'Netvolumenmål gns.'!$A:$S,COLUMN('Netvolumenmål gns.'!P:P),FALSE)</f>
        <v>10006266.41805</v>
      </c>
      <c r="H24" s="8">
        <f>VLOOKUP($B24,'Netvolumenmål gns.'!$A:$S,COLUMN('Netvolumenmål gns.'!Q:Q),FALSE)</f>
        <v>22068375.223088093</v>
      </c>
      <c r="I24" s="8">
        <f>VLOOKUP($B24,'Netvolumenmål gns.'!$A:$S,COLUMN('Netvolumenmål gns.'!R:R),FALSE)</f>
        <v>32074641.641138092</v>
      </c>
      <c r="J24" s="6">
        <v>34.085864999999998</v>
      </c>
      <c r="K24" s="7">
        <v>4.8939863155620045E-2</v>
      </c>
      <c r="L24" s="8">
        <v>9163382.1377686448</v>
      </c>
      <c r="M24" s="8">
        <v>14644771.225977205</v>
      </c>
      <c r="N24" s="8">
        <v>10006266.41805</v>
      </c>
      <c r="O24" s="8">
        <v>22068375.223088093</v>
      </c>
      <c r="P24" s="8">
        <v>32074641.641138092</v>
      </c>
      <c r="Q24" s="8">
        <f>VLOOKUP($B24,'Costdrivere gns.'!$A:$H,COLUMN('Costdrivere gns.'!C:C),FALSE)</f>
        <v>915543.58499999996</v>
      </c>
      <c r="R24" s="8">
        <f>VLOOKUP($B24,'Costdrivere gns.'!$A:$H,COLUMN('Costdrivere gns.'!D:D),FALSE)</f>
        <v>2301729.83</v>
      </c>
      <c r="S24" s="8">
        <f>VLOOKUP($B24,'Costdrivere gns.'!$A:$H,COLUMN('Costdrivere gns.'!E:E),FALSE)</f>
        <v>192982.55</v>
      </c>
      <c r="T24" s="8">
        <f>VLOOKUP($B24,'Costdrivere gns.'!$A:$H,COLUMN('Costdrivere gns.'!F:F),FALSE)</f>
        <v>4290570.3949999996</v>
      </c>
      <c r="U24" s="8">
        <f>VLOOKUP($B24,'Costdrivere gns.'!$A:$H,COLUMN('Costdrivere gns.'!G:G),FALSE)</f>
        <v>1462555.7749999999</v>
      </c>
      <c r="V24" s="8">
        <f>VLOOKUP(B24,'Costdrivere gns.'!$A$3:$H$77,COLUMN('Costdrivere gns.'!$H$2))</f>
        <v>1751571.1950000001</v>
      </c>
      <c r="W24" s="8">
        <f>AVERAGE(VLOOKUP(B24,'Costdrivere 2024'!$A$3:$AC$77,COLUMN('Costdrivere 2024'!$AC$2),FALSE),VLOOKUP(B24,'Costdrivere 2025'!$A$3:$AC$77,COLUMN('Costdrivere 2025'!$AC$2),FALSE))</f>
        <v>2399183.9900522036</v>
      </c>
      <c r="X24" s="8">
        <f>AVERAGE(VLOOKUP(B24,'Costdrivere 2024'!$A$3:$AD$77,COLUMN('Costdrivere 2024'!$AD$2),FALSE),VLOOKUP(B24,'Costdrivere 2025'!$A$3:$AD$77,COLUMN('Costdrivere 2025'!$AD$2),FALSE))</f>
        <v>11762587.235925</v>
      </c>
      <c r="Y24" s="8">
        <v>915543.58499999996</v>
      </c>
      <c r="Z24" s="8">
        <v>2301729.83</v>
      </c>
      <c r="AA24" s="8">
        <v>192982.55</v>
      </c>
      <c r="AB24" s="8">
        <v>4290570.3949999996</v>
      </c>
      <c r="AC24" s="8">
        <v>1462555.7749999999</v>
      </c>
      <c r="AD24" s="8">
        <v>1751571.1950000001</v>
      </c>
      <c r="AE24" s="8">
        <v>2399183.9900522036</v>
      </c>
      <c r="AF24" s="8">
        <v>11762587.235925</v>
      </c>
      <c r="AG24" s="8">
        <f>AVERAGE(VLOOKUP(B24,'Costdrivere 2024'!$A$3:$X$77,COLUMN('Costdrivere 2024'!X:X)),VLOOKUP(B24,'Costdrivere 2025'!$A$3:$X$77,COLUMN('Costdrivere 2025'!X:X)))</f>
        <v>1496194.5</v>
      </c>
      <c r="AH24" s="8">
        <f>AVERAGE(VLOOKUP(B24,'Costdrivere 2024'!$A$3:$Y$77,COLUMN('Costdrivere 2024'!Y:Y)),VLOOKUP(B24,'Costdrivere 2025'!$A$3:$Y$77,COLUMN('Costdrivere 2025'!Y:Y)))</f>
        <v>1633369</v>
      </c>
      <c r="AI24" s="8">
        <v>1496194.5</v>
      </c>
      <c r="AJ24" s="8">
        <v>1633369</v>
      </c>
    </row>
    <row r="25" spans="1:36" x14ac:dyDescent="0.25">
      <c r="A25" s="5" t="s">
        <v>178</v>
      </c>
      <c r="B25" s="5" t="s">
        <v>23</v>
      </c>
      <c r="C25" s="6">
        <f>VLOOKUP($B25,'Netvolumenmål gns.'!$A:$S,COLUMN('Netvolumenmål gns.'!C:C),FALSE)</f>
        <v>35.578507999999999</v>
      </c>
      <c r="D25" s="7">
        <f>VLOOKUP($B25,'Netvolumenmål gns.'!$A:$S,COLUMN('Netvolumenmål gns.'!D:D),FALSE)</f>
        <v>2.6763941642295175E-2</v>
      </c>
      <c r="E25" s="8">
        <f>VLOOKUP($B25,'Netvolumenmål gns.'!$A:$S,COLUMN('Netvolumenmål gns.'!E:E),FALSE)</f>
        <v>13121095.98000914</v>
      </c>
      <c r="F25" s="8">
        <f>VLOOKUP($B25,'Netvolumenmål gns.'!$A:$S,COLUMN('Netvolumenmål gns.'!F:F),FALSE)</f>
        <v>23546813.989978038</v>
      </c>
      <c r="G25" s="8">
        <f>VLOOKUP($B25,'Netvolumenmål gns.'!$A:$S,COLUMN('Netvolumenmål gns.'!P:P),FALSE)</f>
        <v>16614729.90175</v>
      </c>
      <c r="H25" s="8">
        <f>VLOOKUP($B25,'Netvolumenmål gns.'!$A:$S,COLUMN('Netvolumenmål gns.'!Q:Q),FALSE)</f>
        <v>25910779.636543296</v>
      </c>
      <c r="I25" s="8">
        <f>VLOOKUP($B25,'Netvolumenmål gns.'!$A:$S,COLUMN('Netvolumenmål gns.'!R:R),FALSE)</f>
        <v>42525509.538293295</v>
      </c>
      <c r="J25" s="6">
        <v>35.578507999999999</v>
      </c>
      <c r="K25" s="7">
        <v>2.6763941642295175E-2</v>
      </c>
      <c r="L25" s="8">
        <v>13121095.98000914</v>
      </c>
      <c r="M25" s="8">
        <v>23546813.989978038</v>
      </c>
      <c r="N25" s="8">
        <v>16614729.90175</v>
      </c>
      <c r="O25" s="8">
        <v>25910779.636543296</v>
      </c>
      <c r="P25" s="8">
        <v>42525509.538293295</v>
      </c>
      <c r="Q25" s="8">
        <f>VLOOKUP($B25,'Costdrivere gns.'!$A:$H,COLUMN('Costdrivere gns.'!C:C),FALSE)</f>
        <v>1558095.02</v>
      </c>
      <c r="R25" s="8">
        <f>VLOOKUP($B25,'Costdrivere gns.'!$A:$H,COLUMN('Costdrivere gns.'!D:D),FALSE)</f>
        <v>4520868.1550000003</v>
      </c>
      <c r="S25" s="8">
        <f>VLOOKUP($B25,'Costdrivere gns.'!$A:$H,COLUMN('Costdrivere gns.'!E:E),FALSE)</f>
        <v>229133.75</v>
      </c>
      <c r="T25" s="8">
        <f>VLOOKUP($B25,'Costdrivere gns.'!$A:$H,COLUMN('Costdrivere gns.'!F:F),FALSE)</f>
        <v>4389604.9800000004</v>
      </c>
      <c r="U25" s="8">
        <f>VLOOKUP($B25,'Costdrivere gns.'!$A:$H,COLUMN('Costdrivere gns.'!G:G),FALSE)</f>
        <v>2423394.0750000002</v>
      </c>
      <c r="V25" s="8">
        <f>VLOOKUP(B25,'Costdrivere gns.'!$A$3:$H$77,COLUMN('Costdrivere gns.'!$H$2))</f>
        <v>3330229.9</v>
      </c>
      <c r="W25" s="8">
        <f>AVERAGE(VLOOKUP(B25,'Costdrivere 2024'!$A$3:$AC$77,COLUMN('Costdrivere 2024'!$AC$2),FALSE),VLOOKUP(B25,'Costdrivere 2025'!$A$3:$AC$77,COLUMN('Costdrivere 2025'!$AC$2),FALSE))</f>
        <v>5524479.6281113774</v>
      </c>
      <c r="X25" s="8">
        <f>AVERAGE(VLOOKUP(B25,'Costdrivere 2024'!$A$3:$AD$77,COLUMN('Costdrivere 2024'!$AD$2),FALSE),VLOOKUP(B25,'Costdrivere 2025'!$A$3:$AD$77,COLUMN('Costdrivere 2025'!$AD$2),FALSE))</f>
        <v>17252334.36186666</v>
      </c>
      <c r="Y25" s="8">
        <v>1558095.02</v>
      </c>
      <c r="Z25" s="8">
        <v>4520868.1550000003</v>
      </c>
      <c r="AA25" s="8">
        <v>229133.75</v>
      </c>
      <c r="AB25" s="8">
        <v>4389604.9800000004</v>
      </c>
      <c r="AC25" s="8">
        <v>2423394.0750000002</v>
      </c>
      <c r="AD25" s="8">
        <v>3330229.9</v>
      </c>
      <c r="AE25" s="8">
        <v>5524479.6281113774</v>
      </c>
      <c r="AF25" s="8">
        <v>17252334.36186666</v>
      </c>
      <c r="AG25" s="8">
        <f>AVERAGE(VLOOKUP(B25,'Costdrivere 2024'!$A$3:$X$77,COLUMN('Costdrivere 2024'!X:X)),VLOOKUP(B25,'Costdrivere 2025'!$A$3:$X$77,COLUMN('Costdrivere 2025'!X:X)))</f>
        <v>3048442</v>
      </c>
      <c r="AH25" s="8">
        <f>AVERAGE(VLOOKUP(B25,'Costdrivere 2024'!$A$3:$Y$77,COLUMN('Costdrivere 2024'!Y:Y)),VLOOKUP(B25,'Costdrivere 2025'!$A$3:$Y$77,COLUMN('Costdrivere 2025'!Y:Y)))</f>
        <v>3286025.5</v>
      </c>
      <c r="AI25" s="8">
        <v>3048442</v>
      </c>
      <c r="AJ25" s="8">
        <v>3286025.5</v>
      </c>
    </row>
    <row r="26" spans="1:36" x14ac:dyDescent="0.25">
      <c r="A26" s="5" t="s">
        <v>135</v>
      </c>
      <c r="B26" s="5" t="s">
        <v>24</v>
      </c>
      <c r="C26" s="6">
        <f>VLOOKUP($B26,'Netvolumenmål gns.'!$A:$S,COLUMN('Netvolumenmål gns.'!C:C),FALSE)</f>
        <v>36.041397500000002</v>
      </c>
      <c r="D26" s="7">
        <f>VLOOKUP($B26,'Netvolumenmål gns.'!$A:$S,COLUMN('Netvolumenmål gns.'!D:D),FALSE)</f>
        <v>7.712585995017493E-2</v>
      </c>
      <c r="E26" s="8">
        <f>VLOOKUP($B26,'Netvolumenmål gns.'!$A:$S,COLUMN('Netvolumenmål gns.'!E:E),FALSE)</f>
        <v>5671123.3200234314</v>
      </c>
      <c r="F26" s="8">
        <f>VLOOKUP($B26,'Netvolumenmål gns.'!$A:$S,COLUMN('Netvolumenmål gns.'!F:F),FALSE)</f>
        <v>10771186.296586551</v>
      </c>
      <c r="G26" s="8">
        <f>VLOOKUP($B26,'Netvolumenmål gns.'!$A:$S,COLUMN('Netvolumenmål gns.'!P:P),FALSE)</f>
        <v>21775563.818849999</v>
      </c>
      <c r="H26" s="8">
        <f>VLOOKUP($B26,'Netvolumenmål gns.'!$A:$S,COLUMN('Netvolumenmål gns.'!Q:Q),FALSE)</f>
        <v>14354100.096625242</v>
      </c>
      <c r="I26" s="8">
        <f>VLOOKUP($B26,'Netvolumenmål gns.'!$A:$S,COLUMN('Netvolumenmål gns.'!R:R),FALSE)</f>
        <v>36129663.915475242</v>
      </c>
      <c r="J26" s="6">
        <v>36.041397500000002</v>
      </c>
      <c r="K26" s="7">
        <v>7.712585995017493E-2</v>
      </c>
      <c r="L26" s="8">
        <v>5671123.3200234314</v>
      </c>
      <c r="M26" s="8">
        <v>10771186.296586551</v>
      </c>
      <c r="N26" s="8">
        <v>21775563.818849999</v>
      </c>
      <c r="O26" s="8">
        <v>14354100.096625242</v>
      </c>
      <c r="P26" s="8">
        <v>36129663.915475242</v>
      </c>
      <c r="Q26" s="8">
        <f>VLOOKUP($B26,'Costdrivere gns.'!$A:$H,COLUMN('Costdrivere gns.'!C:C),FALSE)</f>
        <v>769663.57</v>
      </c>
      <c r="R26" s="8">
        <f>VLOOKUP($B26,'Costdrivere gns.'!$A:$H,COLUMN('Costdrivere gns.'!D:D),FALSE)</f>
        <v>2414124.5449999999</v>
      </c>
      <c r="S26" s="8">
        <f>VLOOKUP($B26,'Costdrivere gns.'!$A:$H,COLUMN('Costdrivere gns.'!E:E),FALSE)</f>
        <v>218329.79</v>
      </c>
      <c r="T26" s="8">
        <f>VLOOKUP($B26,'Costdrivere gns.'!$A:$H,COLUMN('Costdrivere gns.'!F:F),FALSE)</f>
        <v>1396721.115</v>
      </c>
      <c r="U26" s="8">
        <f>VLOOKUP($B26,'Costdrivere gns.'!$A:$H,COLUMN('Costdrivere gns.'!G:G),FALSE)</f>
        <v>872284.3</v>
      </c>
      <c r="V26" s="8">
        <f>VLOOKUP(B26,'Costdrivere gns.'!$A$3:$H$77,COLUMN('Costdrivere gns.'!$H$2))</f>
        <v>2421989.5550000002</v>
      </c>
      <c r="W26" s="8">
        <f>AVERAGE(VLOOKUP(B26,'Costdrivere 2024'!$A$3:$AC$77,COLUMN('Costdrivere 2024'!$AC$2),FALSE),VLOOKUP(B26,'Costdrivere 2025'!$A$3:$AC$77,COLUMN('Costdrivere 2025'!$AC$2),FALSE))</f>
        <v>3390556.2117969422</v>
      </c>
      <c r="X26" s="8">
        <f>AVERAGE(VLOOKUP(B26,'Costdrivere 2024'!$A$3:$AD$77,COLUMN('Costdrivere 2024'!$AD$2),FALSE),VLOOKUP(B26,'Costdrivere 2025'!$A$3:$AD$77,COLUMN('Costdrivere 2025'!$AD$2),FALSE))</f>
        <v>6730601.0847896077</v>
      </c>
      <c r="Y26" s="8">
        <v>769663.57</v>
      </c>
      <c r="Z26" s="8">
        <v>2414124.5449999999</v>
      </c>
      <c r="AA26" s="8">
        <v>218329.79</v>
      </c>
      <c r="AB26" s="8">
        <v>1396721.115</v>
      </c>
      <c r="AC26" s="8">
        <v>872284.3</v>
      </c>
      <c r="AD26" s="8">
        <v>2421989.5550000002</v>
      </c>
      <c r="AE26" s="8">
        <v>3390556.2117969422</v>
      </c>
      <c r="AF26" s="8">
        <v>6730601.0847896077</v>
      </c>
      <c r="AG26" s="8">
        <f>AVERAGE(VLOOKUP(B26,'Costdrivere 2024'!$A$3:$X$77,COLUMN('Costdrivere 2024'!X:X)),VLOOKUP(B26,'Costdrivere 2025'!$A$3:$X$77,COLUMN('Costdrivere 2025'!X:X)))</f>
        <v>2102172.3200000003</v>
      </c>
      <c r="AH26" s="8">
        <f>AVERAGE(VLOOKUP(B26,'Costdrivere 2024'!$A$3:$Y$77,COLUMN('Costdrivere 2024'!Y:Y)),VLOOKUP(B26,'Costdrivere 2025'!$A$3:$Y$77,COLUMN('Costdrivere 2025'!Y:Y)))</f>
        <v>1562792.5</v>
      </c>
      <c r="AI26" s="8">
        <v>2102172.3200000003</v>
      </c>
      <c r="AJ26" s="8">
        <v>1562792.5</v>
      </c>
    </row>
    <row r="27" spans="1:36" x14ac:dyDescent="0.25">
      <c r="A27" s="5" t="s">
        <v>179</v>
      </c>
      <c r="B27" s="5" t="s">
        <v>25</v>
      </c>
      <c r="C27" s="6">
        <f>VLOOKUP($B27,'Netvolumenmål gns.'!$A:$S,COLUMN('Netvolumenmål gns.'!C:C),FALSE)</f>
        <v>38.038069</v>
      </c>
      <c r="D27" s="7">
        <f>VLOOKUP($B27,'Netvolumenmål gns.'!$A:$S,COLUMN('Netvolumenmål gns.'!D:D),FALSE)</f>
        <v>3.6481484456214186E-2</v>
      </c>
      <c r="E27" s="8">
        <f>VLOOKUP($B27,'Netvolumenmål gns.'!$A:$S,COLUMN('Netvolumenmål gns.'!E:E),FALSE)</f>
        <v>14646175.806951392</v>
      </c>
      <c r="F27" s="8">
        <f>VLOOKUP($B27,'Netvolumenmål gns.'!$A:$S,COLUMN('Netvolumenmål gns.'!F:F),FALSE)</f>
        <v>31615206.750299867</v>
      </c>
      <c r="G27" s="8">
        <f>VLOOKUP($B27,'Netvolumenmål gns.'!$A:$S,COLUMN('Netvolumenmål gns.'!P:P),FALSE)</f>
        <v>20225727.12435</v>
      </c>
      <c r="H27" s="8">
        <f>VLOOKUP($B27,'Netvolumenmål gns.'!$A:$S,COLUMN('Netvolumenmål gns.'!Q:Q),FALSE)</f>
        <v>38070205.967266075</v>
      </c>
      <c r="I27" s="8">
        <f>VLOOKUP($B27,'Netvolumenmål gns.'!$A:$S,COLUMN('Netvolumenmål gns.'!R:R),FALSE)</f>
        <v>58295933.091616079</v>
      </c>
      <c r="J27" s="6">
        <v>38.038069</v>
      </c>
      <c r="K27" s="7">
        <v>3.6481484456214186E-2</v>
      </c>
      <c r="L27" s="8">
        <v>14646175.806951392</v>
      </c>
      <c r="M27" s="8">
        <v>31615206.750299867</v>
      </c>
      <c r="N27" s="8">
        <v>20225727.12435</v>
      </c>
      <c r="O27" s="8">
        <v>38070205.967266075</v>
      </c>
      <c r="P27" s="8">
        <v>58295933.091616079</v>
      </c>
      <c r="Q27" s="8">
        <f>VLOOKUP($B27,'Costdrivere gns.'!$A:$H,COLUMN('Costdrivere gns.'!C:C),FALSE)</f>
        <v>1690201.79</v>
      </c>
      <c r="R27" s="8">
        <f>VLOOKUP($B27,'Costdrivere gns.'!$A:$H,COLUMN('Costdrivere gns.'!D:D),FALSE)</f>
        <v>6148024.3899999997</v>
      </c>
      <c r="S27" s="8">
        <f>VLOOKUP($B27,'Costdrivere gns.'!$A:$H,COLUMN('Costdrivere gns.'!E:E),FALSE)</f>
        <v>333072.15000000002</v>
      </c>
      <c r="T27" s="8">
        <f>VLOOKUP($B27,'Costdrivere gns.'!$A:$H,COLUMN('Costdrivere gns.'!F:F),FALSE)</f>
        <v>4020993.47</v>
      </c>
      <c r="U27" s="8">
        <f>VLOOKUP($B27,'Costdrivere gns.'!$A:$H,COLUMN('Costdrivere gns.'!G:G),FALSE)</f>
        <v>2453884</v>
      </c>
      <c r="V27" s="8">
        <f>VLOOKUP(B27,'Costdrivere gns.'!$A$3:$H$77,COLUMN('Costdrivere gns.'!$H$2))</f>
        <v>3317709.125</v>
      </c>
      <c r="W27" s="8">
        <f>AVERAGE(VLOOKUP(B27,'Costdrivere 2024'!$A$3:$AC$77,COLUMN('Costdrivere 2024'!$AC$2),FALSE),VLOOKUP(B27,'Costdrivere 2025'!$A$3:$AC$77,COLUMN('Costdrivere 2025'!$AC$2),FALSE))</f>
        <v>6755141.9715218917</v>
      </c>
      <c r="X27" s="8">
        <f>AVERAGE(VLOOKUP(B27,'Costdrivere 2024'!$A$3:$AD$77,COLUMN('Costdrivere 2024'!$AD$2),FALSE),VLOOKUP(B27,'Costdrivere 2025'!$A$3:$AD$77,COLUMN('Costdrivere 2025'!$AD$2),FALSE))</f>
        <v>21864412.070766665</v>
      </c>
      <c r="Y27" s="8">
        <v>1690201.79</v>
      </c>
      <c r="Z27" s="8">
        <v>6148024.3899999997</v>
      </c>
      <c r="AA27" s="8">
        <v>333072.15000000002</v>
      </c>
      <c r="AB27" s="8">
        <v>4020993.47</v>
      </c>
      <c r="AC27" s="8">
        <v>2453884</v>
      </c>
      <c r="AD27" s="8">
        <v>3317709.125</v>
      </c>
      <c r="AE27" s="8">
        <v>6755141.9715218917</v>
      </c>
      <c r="AF27" s="8">
        <v>21864412.070766665</v>
      </c>
      <c r="AG27" s="8">
        <f>AVERAGE(VLOOKUP(B27,'Costdrivere 2024'!$A$3:$X$77,COLUMN('Costdrivere 2024'!X:X)),VLOOKUP(B27,'Costdrivere 2025'!$A$3:$X$77,COLUMN('Costdrivere 2025'!X:X)))</f>
        <v>3000816</v>
      </c>
      <c r="AH27" s="8">
        <f>AVERAGE(VLOOKUP(B27,'Costdrivere 2024'!$A$3:$Y$77,COLUMN('Costdrivere 2024'!Y:Y)),VLOOKUP(B27,'Costdrivere 2025'!$A$3:$Y$77,COLUMN('Costdrivere 2025'!Y:Y)))</f>
        <v>3307369</v>
      </c>
      <c r="AI27" s="8">
        <v>3000816</v>
      </c>
      <c r="AJ27" s="8">
        <v>3307369</v>
      </c>
    </row>
    <row r="28" spans="1:36" x14ac:dyDescent="0.25">
      <c r="A28" s="5" t="s">
        <v>180</v>
      </c>
      <c r="B28" s="5" t="s">
        <v>26</v>
      </c>
      <c r="C28" s="6">
        <f>VLOOKUP($B28,'Netvolumenmål gns.'!$A:$S,COLUMN('Netvolumenmål gns.'!C:C),FALSE)</f>
        <v>35.148895500000002</v>
      </c>
      <c r="D28" s="7">
        <f>VLOOKUP($B28,'Netvolumenmål gns.'!$A:$S,COLUMN('Netvolumenmål gns.'!D:D),FALSE)</f>
        <v>0.17683593413709919</v>
      </c>
      <c r="E28" s="8">
        <f>VLOOKUP($B28,'Netvolumenmål gns.'!$A:$S,COLUMN('Netvolumenmål gns.'!E:E),FALSE)</f>
        <v>2258957.6307955976</v>
      </c>
      <c r="F28" s="8">
        <f>VLOOKUP($B28,'Netvolumenmål gns.'!$A:$S,COLUMN('Netvolumenmål gns.'!F:F),FALSE)</f>
        <v>4823746.6679373141</v>
      </c>
      <c r="G28" s="8">
        <f>VLOOKUP($B28,'Netvolumenmål gns.'!$A:$S,COLUMN('Netvolumenmål gns.'!P:P),FALSE)</f>
        <v>8831982.5428999998</v>
      </c>
      <c r="H28" s="8">
        <f>VLOOKUP($B28,'Netvolumenmål gns.'!$A:$S,COLUMN('Netvolumenmål gns.'!Q:Q),FALSE)</f>
        <v>9318104.4407828748</v>
      </c>
      <c r="I28" s="8">
        <f>VLOOKUP($B28,'Netvolumenmål gns.'!$A:$S,COLUMN('Netvolumenmål gns.'!R:R),FALSE)</f>
        <v>18150086.983682875</v>
      </c>
      <c r="J28" s="6">
        <v>35.148895500000002</v>
      </c>
      <c r="K28" s="7">
        <v>0.17683593413709919</v>
      </c>
      <c r="L28" s="8">
        <v>2258957.6307955976</v>
      </c>
      <c r="M28" s="8">
        <v>4823746.6679373141</v>
      </c>
      <c r="N28" s="8">
        <v>8831982.5428999998</v>
      </c>
      <c r="O28" s="8">
        <v>9318104.4407828748</v>
      </c>
      <c r="P28" s="8">
        <v>18150086.983682875</v>
      </c>
      <c r="Q28" s="8">
        <f>VLOOKUP($B28,'Costdrivere gns.'!$A:$H,COLUMN('Costdrivere gns.'!C:C),FALSE)</f>
        <v>14085.23</v>
      </c>
      <c r="R28" s="8">
        <f>VLOOKUP($B28,'Costdrivere gns.'!$A:$H,COLUMN('Costdrivere gns.'!D:D),FALSE)</f>
        <v>0</v>
      </c>
      <c r="S28" s="8">
        <f>VLOOKUP($B28,'Costdrivere gns.'!$A:$H,COLUMN('Costdrivere gns.'!E:E),FALSE)</f>
        <v>0</v>
      </c>
      <c r="T28" s="8">
        <f>VLOOKUP($B28,'Costdrivere gns.'!$A:$H,COLUMN('Costdrivere gns.'!F:F),FALSE)</f>
        <v>1190440.2450000001</v>
      </c>
      <c r="U28" s="8">
        <f>VLOOKUP($B28,'Costdrivere gns.'!$A:$H,COLUMN('Costdrivere gns.'!G:G),FALSE)</f>
        <v>1054432.1599999999</v>
      </c>
      <c r="V28" s="8">
        <f>VLOOKUP(B28,'Costdrivere gns.'!$A$3:$H$77,COLUMN('Costdrivere gns.'!$H$2))</f>
        <v>1412539.48</v>
      </c>
      <c r="W28" s="8">
        <f>AVERAGE(VLOOKUP(B28,'Costdrivere 2024'!$A$3:$AC$77,COLUMN('Costdrivere 2024'!$AC$2),FALSE),VLOOKUP(B28,'Costdrivere 2025'!$A$3:$AC$77,COLUMN('Costdrivere 2025'!$AC$2),FALSE))</f>
        <v>255575.33818184928</v>
      </c>
      <c r="X28" s="8">
        <f>AVERAGE(VLOOKUP(B28,'Costdrivere 2024'!$A$3:$AD$77,COLUMN('Costdrivere 2024'!$AD$2),FALSE),VLOOKUP(B28,'Costdrivere 2025'!$A$3:$AD$77,COLUMN('Costdrivere 2025'!$AD$2),FALSE))</f>
        <v>4531876.3297554646</v>
      </c>
      <c r="Y28" s="8">
        <v>14085.23</v>
      </c>
      <c r="Z28" s="8">
        <v>0</v>
      </c>
      <c r="AA28" s="8">
        <v>0</v>
      </c>
      <c r="AB28" s="8">
        <v>1190440.2450000001</v>
      </c>
      <c r="AC28" s="8">
        <v>1054432.1599999999</v>
      </c>
      <c r="AD28" s="8">
        <v>1412539.48</v>
      </c>
      <c r="AE28" s="8">
        <v>255575.33818184928</v>
      </c>
      <c r="AF28" s="8">
        <v>4531876.3297554646</v>
      </c>
      <c r="AG28" s="8">
        <f>AVERAGE(VLOOKUP(B28,'Costdrivere 2024'!$A$3:$X$77,COLUMN('Costdrivere 2024'!X:X)),VLOOKUP(B28,'Costdrivere 2025'!$A$3:$X$77,COLUMN('Costdrivere 2025'!X:X)))</f>
        <v>1175361</v>
      </c>
      <c r="AH28" s="8">
        <f>AVERAGE(VLOOKUP(B28,'Costdrivere 2024'!$A$3:$Y$77,COLUMN('Costdrivere 2024'!Y:Y)),VLOOKUP(B28,'Costdrivere 2025'!$A$3:$Y$77,COLUMN('Costdrivere 2025'!Y:Y)))</f>
        <v>0</v>
      </c>
      <c r="AI28" s="8">
        <v>1175361</v>
      </c>
      <c r="AJ28" s="8">
        <v>0</v>
      </c>
    </row>
    <row r="29" spans="1:36" x14ac:dyDescent="0.25">
      <c r="A29" s="5" t="s">
        <v>136</v>
      </c>
      <c r="B29" s="5" t="s">
        <v>27</v>
      </c>
      <c r="C29" s="6">
        <f>VLOOKUP($B29,'Netvolumenmål gns.'!$A:$S,COLUMN('Netvolumenmål gns.'!C:C),FALSE)</f>
        <v>25.683663500000002</v>
      </c>
      <c r="D29" s="7">
        <f>VLOOKUP($B29,'Netvolumenmål gns.'!$A:$S,COLUMN('Netvolumenmål gns.'!D:D),FALSE)</f>
        <v>0.15430477445662363</v>
      </c>
      <c r="E29" s="8">
        <f>VLOOKUP($B29,'Netvolumenmål gns.'!$A:$S,COLUMN('Netvolumenmål gns.'!E:E),FALSE)</f>
        <v>6856688.4218555856</v>
      </c>
      <c r="F29" s="8">
        <f>VLOOKUP($B29,'Netvolumenmål gns.'!$A:$S,COLUMN('Netvolumenmål gns.'!F:F),FALSE)</f>
        <v>7005193.1021877881</v>
      </c>
      <c r="G29" s="8">
        <f>VLOOKUP($B29,'Netvolumenmål gns.'!$A:$S,COLUMN('Netvolumenmål gns.'!P:P),FALSE)</f>
        <v>12357430.39395</v>
      </c>
      <c r="H29" s="8">
        <f>VLOOKUP($B29,'Netvolumenmål gns.'!$A:$S,COLUMN('Netvolumenmål gns.'!Q:Q),FALSE)</f>
        <v>15804120.593430173</v>
      </c>
      <c r="I29" s="8">
        <f>VLOOKUP($B29,'Netvolumenmål gns.'!$A:$S,COLUMN('Netvolumenmål gns.'!R:R),FALSE)</f>
        <v>28161550.987380173</v>
      </c>
      <c r="J29" s="6">
        <v>25.683663500000002</v>
      </c>
      <c r="K29" s="7">
        <v>0.15430477445662363</v>
      </c>
      <c r="L29" s="8">
        <v>6856688.4218555856</v>
      </c>
      <c r="M29" s="8">
        <v>7005193.1021877881</v>
      </c>
      <c r="N29" s="8">
        <v>12357430.39395</v>
      </c>
      <c r="O29" s="8">
        <v>15804120.593430173</v>
      </c>
      <c r="P29" s="8">
        <v>28161550.987380173</v>
      </c>
      <c r="Q29" s="8">
        <f>VLOOKUP($B29,'Costdrivere gns.'!$A:$H,COLUMN('Costdrivere gns.'!C:C),FALSE)</f>
        <v>368267.21</v>
      </c>
      <c r="R29" s="8">
        <f>VLOOKUP($B29,'Costdrivere gns.'!$A:$H,COLUMN('Costdrivere gns.'!D:D),FALSE)</f>
        <v>3947236.59</v>
      </c>
      <c r="S29" s="8">
        <f>VLOOKUP($B29,'Costdrivere gns.'!$A:$H,COLUMN('Costdrivere gns.'!E:E),FALSE)</f>
        <v>183684.15</v>
      </c>
      <c r="T29" s="8">
        <f>VLOOKUP($B29,'Costdrivere gns.'!$A:$H,COLUMN('Costdrivere gns.'!F:F),FALSE)</f>
        <v>1555614.895</v>
      </c>
      <c r="U29" s="8">
        <f>VLOOKUP($B29,'Costdrivere gns.'!$A:$H,COLUMN('Costdrivere gns.'!G:G),FALSE)</f>
        <v>801885.57499999995</v>
      </c>
      <c r="V29" s="8">
        <f>VLOOKUP(B29,'Costdrivere gns.'!$A$3:$H$77,COLUMN('Costdrivere gns.'!$H$2))</f>
        <v>2109944.34</v>
      </c>
      <c r="W29" s="8">
        <f>AVERAGE(VLOOKUP(B29,'Costdrivere 2024'!$A$3:$AC$77,COLUMN('Costdrivere 2024'!$AC$2),FALSE),VLOOKUP(B29,'Costdrivere 2025'!$A$3:$AC$77,COLUMN('Costdrivere 2025'!$AC$2),FALSE))</f>
        <v>1706228.7885756546</v>
      </c>
      <c r="X29" s="8">
        <f>AVERAGE(VLOOKUP(B29,'Costdrivere 2024'!$A$3:$AD$77,COLUMN('Costdrivere 2024'!$AD$2),FALSE),VLOOKUP(B29,'Costdrivere 2025'!$A$3:$AD$77,COLUMN('Costdrivere 2025'!$AD$2),FALSE))</f>
        <v>5248151.3136121333</v>
      </c>
      <c r="Y29" s="8">
        <v>368267.21</v>
      </c>
      <c r="Z29" s="8">
        <v>3947236.59</v>
      </c>
      <c r="AA29" s="8">
        <v>183684.15</v>
      </c>
      <c r="AB29" s="8">
        <v>1555614.895</v>
      </c>
      <c r="AC29" s="8">
        <v>801885.57499999995</v>
      </c>
      <c r="AD29" s="8">
        <v>2109944.34</v>
      </c>
      <c r="AE29" s="8">
        <v>1706228.7885756546</v>
      </c>
      <c r="AF29" s="8">
        <v>5248151.3136121333</v>
      </c>
      <c r="AG29" s="8">
        <f>AVERAGE(VLOOKUP(B29,'Costdrivere 2024'!$A$3:$X$77,COLUMN('Costdrivere 2024'!X:X)),VLOOKUP(B29,'Costdrivere 2025'!$A$3:$X$77,COLUMN('Costdrivere 2025'!X:X)))</f>
        <v>1837389</v>
      </c>
      <c r="AH29" s="8">
        <f>AVERAGE(VLOOKUP(B29,'Costdrivere 2024'!$A$3:$Y$77,COLUMN('Costdrivere 2024'!Y:Y)),VLOOKUP(B29,'Costdrivere 2025'!$A$3:$Y$77,COLUMN('Costdrivere 2025'!Y:Y)))</f>
        <v>1915806.5</v>
      </c>
      <c r="AI29" s="8">
        <v>1837389</v>
      </c>
      <c r="AJ29" s="8">
        <v>1915806.5</v>
      </c>
    </row>
    <row r="30" spans="1:36" x14ac:dyDescent="0.25">
      <c r="A30" s="5" t="s">
        <v>181</v>
      </c>
      <c r="B30" s="5" t="s">
        <v>28</v>
      </c>
      <c r="C30" s="6">
        <f>VLOOKUP($B30,'Netvolumenmål gns.'!$A:$S,COLUMN('Netvolumenmål gns.'!C:C),FALSE)</f>
        <v>31.783956</v>
      </c>
      <c r="D30" s="7">
        <f>VLOOKUP($B30,'Netvolumenmål gns.'!$A:$S,COLUMN('Netvolumenmål gns.'!D:D),FALSE)</f>
        <v>0.17634640660914638</v>
      </c>
      <c r="E30" s="8">
        <f>VLOOKUP($B30,'Netvolumenmål gns.'!$A:$S,COLUMN('Netvolumenmål gns.'!E:E),FALSE)</f>
        <v>2234945.4630092965</v>
      </c>
      <c r="F30" s="8">
        <f>VLOOKUP($B30,'Netvolumenmål gns.'!$A:$S,COLUMN('Netvolumenmål gns.'!F:F),FALSE)</f>
        <v>4820889.0674343128</v>
      </c>
      <c r="G30" s="8">
        <f>VLOOKUP($B30,'Netvolumenmål gns.'!$A:$S,COLUMN('Netvolumenmål gns.'!P:P),FALSE)</f>
        <v>9160829.2942500003</v>
      </c>
      <c r="H30" s="8">
        <f>VLOOKUP($B30,'Netvolumenmål gns.'!$A:$S,COLUMN('Netvolumenmål gns.'!Q:Q),FALSE)</f>
        <v>13237952.176431613</v>
      </c>
      <c r="I30" s="8">
        <f>VLOOKUP($B30,'Netvolumenmål gns.'!$A:$S,COLUMN('Netvolumenmål gns.'!R:R),FALSE)</f>
        <v>22398781.470681611</v>
      </c>
      <c r="J30" s="6">
        <v>31.783956</v>
      </c>
      <c r="K30" s="7">
        <v>0.17634640660914638</v>
      </c>
      <c r="L30" s="8">
        <v>2234945.4630092965</v>
      </c>
      <c r="M30" s="8">
        <v>4820889.0674343128</v>
      </c>
      <c r="N30" s="8">
        <v>9160829.2942500003</v>
      </c>
      <c r="O30" s="8">
        <v>13237952.176431613</v>
      </c>
      <c r="P30" s="8">
        <v>22398781.470681611</v>
      </c>
      <c r="Q30" s="8">
        <f>VLOOKUP($B30,'Costdrivere gns.'!$A:$H,COLUMN('Costdrivere gns.'!C:C),FALSE)</f>
        <v>0</v>
      </c>
      <c r="R30" s="8">
        <f>VLOOKUP($B30,'Costdrivere gns.'!$A:$H,COLUMN('Costdrivere gns.'!D:D),FALSE)</f>
        <v>0</v>
      </c>
      <c r="S30" s="8">
        <f>VLOOKUP($B30,'Costdrivere gns.'!$A:$H,COLUMN('Costdrivere gns.'!E:E),FALSE)</f>
        <v>213589.75</v>
      </c>
      <c r="T30" s="8">
        <f>VLOOKUP($B30,'Costdrivere gns.'!$A:$H,COLUMN('Costdrivere gns.'!F:F),FALSE)</f>
        <v>1266306.9099999999</v>
      </c>
      <c r="U30" s="8">
        <f>VLOOKUP($B30,'Costdrivere gns.'!$A:$H,COLUMN('Costdrivere gns.'!G:G),FALSE)</f>
        <v>755048.80500000005</v>
      </c>
      <c r="V30" s="8">
        <f>VLOOKUP(B30,'Costdrivere gns.'!$A$3:$H$77,COLUMN('Costdrivere gns.'!$H$2))</f>
        <v>1752405.6850000001</v>
      </c>
      <c r="W30" s="8">
        <f>AVERAGE(VLOOKUP(B30,'Costdrivere 2024'!$A$3:$AC$77,COLUMN('Costdrivere 2024'!$AC$2),FALSE),VLOOKUP(B30,'Costdrivere 2025'!$A$3:$AC$77,COLUMN('Costdrivere 2025'!$AC$2),FALSE))</f>
        <v>18673.515516682339</v>
      </c>
      <c r="X30" s="8">
        <f>AVERAGE(VLOOKUP(B30,'Costdrivere 2024'!$A$3:$AD$77,COLUMN('Costdrivere 2024'!$AD$2),FALSE),VLOOKUP(B30,'Costdrivere 2025'!$A$3:$AD$77,COLUMN('Costdrivere 2025'!$AD$2),FALSE))</f>
        <v>4773179.5519176302</v>
      </c>
      <c r="Y30" s="8">
        <v>0</v>
      </c>
      <c r="Z30" s="8">
        <v>0</v>
      </c>
      <c r="AA30" s="8">
        <v>213589.75</v>
      </c>
      <c r="AB30" s="8">
        <v>1266306.9099999999</v>
      </c>
      <c r="AC30" s="8">
        <v>755048.80500000005</v>
      </c>
      <c r="AD30" s="8">
        <v>1752405.6850000001</v>
      </c>
      <c r="AE30" s="8">
        <v>18673.515516682339</v>
      </c>
      <c r="AF30" s="8">
        <v>4773179.5519176302</v>
      </c>
      <c r="AG30" s="8">
        <f>AVERAGE(VLOOKUP(B30,'Costdrivere 2024'!$A$3:$X$77,COLUMN('Costdrivere 2024'!X:X)),VLOOKUP(B30,'Costdrivere 2025'!$A$3:$X$77,COLUMN('Costdrivere 2025'!X:X)))</f>
        <v>1504295</v>
      </c>
      <c r="AH30" s="8">
        <f>AVERAGE(VLOOKUP(B30,'Costdrivere 2024'!$A$3:$Y$77,COLUMN('Costdrivere 2024'!Y:Y)),VLOOKUP(B30,'Costdrivere 2025'!$A$3:$Y$77,COLUMN('Costdrivere 2025'!Y:Y)))</f>
        <v>0</v>
      </c>
      <c r="AI30" s="8">
        <v>1504295</v>
      </c>
      <c r="AJ30" s="8">
        <v>0</v>
      </c>
    </row>
    <row r="31" spans="1:36" x14ac:dyDescent="0.25">
      <c r="A31" s="5" t="s">
        <v>182</v>
      </c>
      <c r="B31" s="5" t="s">
        <v>29</v>
      </c>
      <c r="C31" s="6">
        <f>VLOOKUP($B31,'Netvolumenmål gns.'!$A:$S,COLUMN('Netvolumenmål gns.'!C:C),FALSE)</f>
        <v>32.776545999999996</v>
      </c>
      <c r="D31" s="7">
        <f>VLOOKUP($B31,'Netvolumenmål gns.'!$A:$S,COLUMN('Netvolumenmål gns.'!D:D),FALSE)</f>
        <v>0.14824996928041625</v>
      </c>
      <c r="E31" s="8">
        <f>VLOOKUP($B31,'Netvolumenmål gns.'!$A:$S,COLUMN('Netvolumenmål gns.'!E:E),FALSE)</f>
        <v>4180144.0899811839</v>
      </c>
      <c r="F31" s="8">
        <f>VLOOKUP($B31,'Netvolumenmål gns.'!$A:$S,COLUMN('Netvolumenmål gns.'!F:F),FALSE)</f>
        <v>9220765.6726254728</v>
      </c>
      <c r="G31" s="8">
        <f>VLOOKUP($B31,'Netvolumenmål gns.'!$A:$S,COLUMN('Netvolumenmål gns.'!P:P),FALSE)</f>
        <v>15287597.899900001</v>
      </c>
      <c r="H31" s="8">
        <f>VLOOKUP($B31,'Netvolumenmål gns.'!$A:$S,COLUMN('Netvolumenmål gns.'!Q:Q),FALSE)</f>
        <v>16814500.095275871</v>
      </c>
      <c r="I31" s="8">
        <f>VLOOKUP($B31,'Netvolumenmål gns.'!$A:$S,COLUMN('Netvolumenmål gns.'!R:R),FALSE)</f>
        <v>32102097.995175876</v>
      </c>
      <c r="J31" s="6">
        <v>32.776545999999996</v>
      </c>
      <c r="K31" s="7">
        <v>0.14824996928041625</v>
      </c>
      <c r="L31" s="8">
        <v>4180144.0899811839</v>
      </c>
      <c r="M31" s="8">
        <v>9220765.6726254728</v>
      </c>
      <c r="N31" s="8">
        <v>15287597.899900001</v>
      </c>
      <c r="O31" s="8">
        <v>16814500.095275871</v>
      </c>
      <c r="P31" s="8">
        <v>32102097.995175876</v>
      </c>
      <c r="Q31" s="8">
        <f>VLOOKUP($B31,'Costdrivere gns.'!$A:$H,COLUMN('Costdrivere gns.'!C:C),FALSE)</f>
        <v>72422.615000000005</v>
      </c>
      <c r="R31" s="8">
        <f>VLOOKUP($B31,'Costdrivere gns.'!$A:$H,COLUMN('Costdrivere gns.'!D:D),FALSE)</f>
        <v>231438.48499999999</v>
      </c>
      <c r="S31" s="8">
        <f>VLOOKUP($B31,'Costdrivere gns.'!$A:$H,COLUMN('Costdrivere gns.'!E:E),FALSE)</f>
        <v>104835.35</v>
      </c>
      <c r="T31" s="8">
        <f>VLOOKUP($B31,'Costdrivere gns.'!$A:$H,COLUMN('Costdrivere gns.'!F:F),FALSE)</f>
        <v>2466676.145</v>
      </c>
      <c r="U31" s="8">
        <f>VLOOKUP($B31,'Costdrivere gns.'!$A:$H,COLUMN('Costdrivere gns.'!G:G),FALSE)</f>
        <v>1304771.49</v>
      </c>
      <c r="V31" s="8">
        <f>VLOOKUP(B31,'Costdrivere gns.'!$A$3:$H$77,COLUMN('Costdrivere gns.'!$H$2))</f>
        <v>3356000.835</v>
      </c>
      <c r="W31" s="8">
        <f>AVERAGE(VLOOKUP(B31,'Costdrivere 2024'!$A$3:$AC$77,COLUMN('Costdrivere 2024'!$AC$2),FALSE),VLOOKUP(B31,'Costdrivere 2025'!$A$3:$AC$77,COLUMN('Costdrivere 2025'!$AC$2),FALSE))</f>
        <v>1124788.4447917449</v>
      </c>
      <c r="X31" s="8">
        <f>AVERAGE(VLOOKUP(B31,'Costdrivere 2024'!$A$3:$AD$77,COLUMN('Costdrivere 2024'!$AD$2),FALSE),VLOOKUP(B31,'Costdrivere 2025'!$A$3:$AD$77,COLUMN('Costdrivere 2025'!$AD$2),FALSE))</f>
        <v>8037905.2278337274</v>
      </c>
      <c r="Y31" s="8">
        <v>72422.615000000005</v>
      </c>
      <c r="Z31" s="8">
        <v>231438.48499999999</v>
      </c>
      <c r="AA31" s="8">
        <v>104835.35</v>
      </c>
      <c r="AB31" s="8">
        <v>2466676.145</v>
      </c>
      <c r="AC31" s="8">
        <v>1304771.49</v>
      </c>
      <c r="AD31" s="8">
        <v>3356000.835</v>
      </c>
      <c r="AE31" s="8">
        <v>1124788.4447917449</v>
      </c>
      <c r="AF31" s="8">
        <v>8037905.2278337274</v>
      </c>
      <c r="AG31" s="8">
        <f>AVERAGE(VLOOKUP(B31,'Costdrivere 2024'!$A$3:$X$77,COLUMN('Costdrivere 2024'!X:X)),VLOOKUP(B31,'Costdrivere 2025'!$A$3:$X$77,COLUMN('Costdrivere 2025'!X:X)))</f>
        <v>3091829.5</v>
      </c>
      <c r="AH31" s="8">
        <f>AVERAGE(VLOOKUP(B31,'Costdrivere 2024'!$A$3:$Y$77,COLUMN('Costdrivere 2024'!Y:Y)),VLOOKUP(B31,'Costdrivere 2025'!$A$3:$Y$77,COLUMN('Costdrivere 2025'!Y:Y)))</f>
        <v>46483</v>
      </c>
      <c r="AI31" s="8">
        <v>3091829.5</v>
      </c>
      <c r="AJ31" s="8">
        <v>46483</v>
      </c>
    </row>
    <row r="32" spans="1:36" x14ac:dyDescent="0.25">
      <c r="A32" s="5" t="s">
        <v>183</v>
      </c>
      <c r="B32" s="5" t="s">
        <v>30</v>
      </c>
      <c r="C32" s="6">
        <f>VLOOKUP($B32,'Netvolumenmål gns.'!$A:$S,COLUMN('Netvolumenmål gns.'!C:C),FALSE)</f>
        <v>34.878788999999998</v>
      </c>
      <c r="D32" s="7">
        <f>VLOOKUP($B32,'Netvolumenmål gns.'!$A:$S,COLUMN('Netvolumenmål gns.'!D:D),FALSE)</f>
        <v>0.40691491324134771</v>
      </c>
      <c r="E32" s="8">
        <f>VLOOKUP($B32,'Netvolumenmål gns.'!$A:$S,COLUMN('Netvolumenmål gns.'!E:E),FALSE)</f>
        <v>141046389.07093662</v>
      </c>
      <c r="F32" s="8">
        <f>VLOOKUP($B32,'Netvolumenmål gns.'!$A:$S,COLUMN('Netvolumenmål gns.'!F:F),FALSE)</f>
        <v>145658965.6797719</v>
      </c>
      <c r="G32" s="8">
        <f>VLOOKUP($B32,'Netvolumenmål gns.'!$A:$S,COLUMN('Netvolumenmål gns.'!P:P),FALSE)</f>
        <v>311825993.17334998</v>
      </c>
      <c r="H32" s="8">
        <f>VLOOKUP($B32,'Netvolumenmål gns.'!$A:$S,COLUMN('Netvolumenmål gns.'!Q:Q),FALSE)</f>
        <v>219850359.77036518</v>
      </c>
      <c r="I32" s="8">
        <f>VLOOKUP($B32,'Netvolumenmål gns.'!$A:$S,COLUMN('Netvolumenmål gns.'!R:R),FALSE)</f>
        <v>531676352.94371516</v>
      </c>
      <c r="J32" s="6">
        <v>34.878788999999998</v>
      </c>
      <c r="K32" s="7">
        <v>0.40691491324134771</v>
      </c>
      <c r="L32" s="8">
        <v>141046389.07093662</v>
      </c>
      <c r="M32" s="8">
        <v>145658965.6797719</v>
      </c>
      <c r="N32" s="8">
        <v>311825993.17334998</v>
      </c>
      <c r="O32" s="8">
        <v>219850359.77036518</v>
      </c>
      <c r="P32" s="8">
        <v>531676352.94371516</v>
      </c>
      <c r="Q32" s="8">
        <f>VLOOKUP($B32,'Costdrivere gns.'!$A:$H,COLUMN('Costdrivere gns.'!C:C),FALSE)</f>
        <v>19106225.390000001</v>
      </c>
      <c r="R32" s="8">
        <f>VLOOKUP($B32,'Costdrivere gns.'!$A:$H,COLUMN('Costdrivere gns.'!D:D),FALSE)</f>
        <v>90677798.905000001</v>
      </c>
      <c r="S32" s="8">
        <f>VLOOKUP($B32,'Costdrivere gns.'!$A:$H,COLUMN('Costdrivere gns.'!E:E),FALSE)</f>
        <v>2738837.77</v>
      </c>
      <c r="T32" s="8">
        <f>VLOOKUP($B32,'Costdrivere gns.'!$A:$H,COLUMN('Costdrivere gns.'!F:F),FALSE)</f>
        <v>24330520.329999998</v>
      </c>
      <c r="U32" s="8">
        <f>VLOOKUP($B32,'Costdrivere gns.'!$A:$H,COLUMN('Costdrivere gns.'!G:G),FALSE)</f>
        <v>4193006.6749999998</v>
      </c>
      <c r="V32" s="8">
        <f>VLOOKUP(B32,'Costdrivere gns.'!$A$3:$H$77,COLUMN('Costdrivere gns.'!$H$2))</f>
        <v>42609388.020000003</v>
      </c>
      <c r="W32" s="8">
        <f>AVERAGE(VLOOKUP(B32,'Costdrivere 2024'!$A$3:$AC$77,COLUMN('Costdrivere 2024'!$AC$2),FALSE),VLOOKUP(B32,'Costdrivere 2025'!$A$3:$AC$77,COLUMN('Costdrivere 2025'!$AC$2),FALSE))</f>
        <v>67885871.980507776</v>
      </c>
      <c r="X32" s="8">
        <f>AVERAGE(VLOOKUP(B32,'Costdrivere 2024'!$A$3:$AD$77,COLUMN('Costdrivere 2024'!$AD$2),FALSE),VLOOKUP(B32,'Costdrivere 2025'!$A$3:$AD$77,COLUMN('Costdrivere 2025'!$AD$2),FALSE))</f>
        <v>76524243.699264139</v>
      </c>
      <c r="Y32" s="8">
        <v>19106225.390000001</v>
      </c>
      <c r="Z32" s="8">
        <v>90677798.905000001</v>
      </c>
      <c r="AA32" s="8">
        <v>2738837.77</v>
      </c>
      <c r="AB32" s="8">
        <v>24330520.329999998</v>
      </c>
      <c r="AC32" s="8">
        <v>4193006.6749999998</v>
      </c>
      <c r="AD32" s="8">
        <v>42609388.020000003</v>
      </c>
      <c r="AE32" s="8">
        <v>67885871.980507776</v>
      </c>
      <c r="AF32" s="8">
        <v>76524243.699264139</v>
      </c>
      <c r="AG32" s="8">
        <f>AVERAGE(VLOOKUP(B32,'Costdrivere 2024'!$A$3:$X$77,COLUMN('Costdrivere 2024'!X:X)),VLOOKUP(B32,'Costdrivere 2025'!$A$3:$X$77,COLUMN('Costdrivere 2025'!X:X)))</f>
        <v>31571706.5</v>
      </c>
      <c r="AH32" s="8">
        <f>AVERAGE(VLOOKUP(B32,'Costdrivere 2024'!$A$3:$Y$77,COLUMN('Costdrivere 2024'!Y:Y)),VLOOKUP(B32,'Costdrivere 2025'!$A$3:$Y$77,COLUMN('Costdrivere 2025'!Y:Y)))</f>
        <v>53244697</v>
      </c>
      <c r="AI32" s="8">
        <v>31571706.5</v>
      </c>
      <c r="AJ32" s="8">
        <v>53244697</v>
      </c>
    </row>
    <row r="33" spans="1:36" x14ac:dyDescent="0.25">
      <c r="A33" s="5" t="s">
        <v>184</v>
      </c>
      <c r="B33" s="5" t="s">
        <v>31</v>
      </c>
      <c r="C33" s="6">
        <f>VLOOKUP($B33,'Netvolumenmål gns.'!$A:$S,COLUMN('Netvolumenmål gns.'!C:C),FALSE)</f>
        <v>33.892043999999999</v>
      </c>
      <c r="D33" s="7">
        <f>VLOOKUP($B33,'Netvolumenmål gns.'!$A:$S,COLUMN('Netvolumenmål gns.'!D:D),FALSE)</f>
        <v>0.20584321388699611</v>
      </c>
      <c r="E33" s="8">
        <f>VLOOKUP($B33,'Netvolumenmål gns.'!$A:$S,COLUMN('Netvolumenmål gns.'!E:E),FALSE)</f>
        <v>3662493.3850052804</v>
      </c>
      <c r="F33" s="8">
        <f>VLOOKUP($B33,'Netvolumenmål gns.'!$A:$S,COLUMN('Netvolumenmål gns.'!F:F),FALSE)</f>
        <v>5556261.2032250362</v>
      </c>
      <c r="G33" s="8">
        <f>VLOOKUP($B33,'Netvolumenmål gns.'!$A:$S,COLUMN('Netvolumenmål gns.'!P:P),FALSE)</f>
        <v>11337039.97655</v>
      </c>
      <c r="H33" s="8">
        <f>VLOOKUP($B33,'Netvolumenmål gns.'!$A:$S,COLUMN('Netvolumenmål gns.'!Q:Q),FALSE)</f>
        <v>13955734.669348031</v>
      </c>
      <c r="I33" s="8">
        <f>VLOOKUP($B33,'Netvolumenmål gns.'!$A:$S,COLUMN('Netvolumenmål gns.'!R:R),FALSE)</f>
        <v>25292774.645898029</v>
      </c>
      <c r="J33" s="6">
        <v>33.892043999999999</v>
      </c>
      <c r="K33" s="7">
        <v>0.20584321388699611</v>
      </c>
      <c r="L33" s="8">
        <v>3662493.3850052804</v>
      </c>
      <c r="M33" s="8">
        <v>5556261.2032250362</v>
      </c>
      <c r="N33" s="8">
        <v>11337039.97655</v>
      </c>
      <c r="O33" s="8">
        <v>13955734.669348031</v>
      </c>
      <c r="P33" s="8">
        <v>25292774.645898029</v>
      </c>
      <c r="Q33" s="8">
        <f>VLOOKUP($B33,'Costdrivere gns.'!$A:$H,COLUMN('Costdrivere gns.'!C:C),FALSE)</f>
        <v>193533.345</v>
      </c>
      <c r="R33" s="8">
        <f>VLOOKUP($B33,'Costdrivere gns.'!$A:$H,COLUMN('Costdrivere gns.'!D:D),FALSE)</f>
        <v>711749.60499999998</v>
      </c>
      <c r="S33" s="8">
        <f>VLOOKUP($B33,'Costdrivere gns.'!$A:$H,COLUMN('Costdrivere gns.'!E:E),FALSE)</f>
        <v>202227.35</v>
      </c>
      <c r="T33" s="8">
        <f>VLOOKUP($B33,'Costdrivere gns.'!$A:$H,COLUMN('Costdrivere gns.'!F:F),FALSE)</f>
        <v>1601390.5449999999</v>
      </c>
      <c r="U33" s="8">
        <f>VLOOKUP($B33,'Costdrivere gns.'!$A:$H,COLUMN('Costdrivere gns.'!G:G),FALSE)</f>
        <v>953592.55</v>
      </c>
      <c r="V33" s="8">
        <f>VLOOKUP(B33,'Costdrivere gns.'!$A$3:$H$77,COLUMN('Costdrivere gns.'!$H$2))</f>
        <v>2106322.4300000002</v>
      </c>
      <c r="W33" s="8">
        <f>AVERAGE(VLOOKUP(B33,'Costdrivere 2024'!$A$3:$AC$77,COLUMN('Costdrivere 2024'!$AC$2),FALSE),VLOOKUP(B33,'Costdrivere 2025'!$A$3:$AC$77,COLUMN('Costdrivere 2025'!$AC$2),FALSE))</f>
        <v>668324.87988152681</v>
      </c>
      <c r="X33" s="8">
        <f>AVERAGE(VLOOKUP(B33,'Costdrivere 2024'!$A$3:$AD$77,COLUMN('Costdrivere 2024'!$AD$2),FALSE),VLOOKUP(B33,'Costdrivere 2025'!$A$3:$AD$77,COLUMN('Costdrivere 2025'!$AD$2),FALSE))</f>
        <v>4844382.3233435098</v>
      </c>
      <c r="Y33" s="8">
        <v>193533.345</v>
      </c>
      <c r="Z33" s="8">
        <v>711749.60499999998</v>
      </c>
      <c r="AA33" s="8">
        <v>202227.35</v>
      </c>
      <c r="AB33" s="8">
        <v>1601390.5449999999</v>
      </c>
      <c r="AC33" s="8">
        <v>953592.55</v>
      </c>
      <c r="AD33" s="8">
        <v>2106322.4300000002</v>
      </c>
      <c r="AE33" s="8">
        <v>668324.87988152681</v>
      </c>
      <c r="AF33" s="8">
        <v>4844382.3233435098</v>
      </c>
      <c r="AG33" s="8">
        <f>AVERAGE(VLOOKUP(B33,'Costdrivere 2024'!$A$3:$X$77,COLUMN('Costdrivere 2024'!X:X)),VLOOKUP(B33,'Costdrivere 2025'!$A$3:$X$77,COLUMN('Costdrivere 2025'!X:X)))</f>
        <v>1842008.5</v>
      </c>
      <c r="AH33" s="8">
        <f>AVERAGE(VLOOKUP(B33,'Costdrivere 2024'!$A$3:$Y$77,COLUMN('Costdrivere 2024'!Y:Y)),VLOOKUP(B33,'Costdrivere 2025'!$A$3:$Y$77,COLUMN('Costdrivere 2025'!Y:Y)))</f>
        <v>345518.5</v>
      </c>
      <c r="AI33" s="8">
        <v>1842008.5</v>
      </c>
      <c r="AJ33" s="8">
        <v>345518.5</v>
      </c>
    </row>
    <row r="34" spans="1:36" x14ac:dyDescent="0.25">
      <c r="A34" s="5" t="s">
        <v>137</v>
      </c>
      <c r="B34" s="5" t="s">
        <v>33</v>
      </c>
      <c r="C34" s="6">
        <f>VLOOKUP($B34,'Netvolumenmål gns.'!$A:$S,COLUMN('Netvolumenmål gns.'!C:C),FALSE)</f>
        <v>36.208331000000001</v>
      </c>
      <c r="D34" s="7">
        <f>VLOOKUP($B34,'Netvolumenmål gns.'!$A:$S,COLUMN('Netvolumenmål gns.'!D:D),FALSE)</f>
        <v>7.7814303951136962E-2</v>
      </c>
      <c r="E34" s="8">
        <f>VLOOKUP($B34,'Netvolumenmål gns.'!$A:$S,COLUMN('Netvolumenmål gns.'!E:E),FALSE)</f>
        <v>15637836.09566932</v>
      </c>
      <c r="F34" s="8">
        <f>VLOOKUP($B34,'Netvolumenmål gns.'!$A:$S,COLUMN('Netvolumenmål gns.'!F:F),FALSE)</f>
        <v>22173261.976486325</v>
      </c>
      <c r="G34" s="8">
        <f>VLOOKUP($B34,'Netvolumenmål gns.'!$A:$S,COLUMN('Netvolumenmål gns.'!P:P),FALSE)</f>
        <v>22229462.034000002</v>
      </c>
      <c r="H34" s="8">
        <f>VLOOKUP($B34,'Netvolumenmål gns.'!$A:$S,COLUMN('Netvolumenmål gns.'!Q:Q),FALSE)</f>
        <v>26972282.232179601</v>
      </c>
      <c r="I34" s="8">
        <f>VLOOKUP($B34,'Netvolumenmål gns.'!$A:$S,COLUMN('Netvolumenmål gns.'!R:R),FALSE)</f>
        <v>49201744.266179599</v>
      </c>
      <c r="J34" s="6">
        <v>36.208331000000001</v>
      </c>
      <c r="K34" s="7">
        <v>7.7814303951136962E-2</v>
      </c>
      <c r="L34" s="8">
        <v>15637836.09566932</v>
      </c>
      <c r="M34" s="8">
        <v>22173261.976486325</v>
      </c>
      <c r="N34" s="8">
        <v>22229462.034000002</v>
      </c>
      <c r="O34" s="8">
        <v>26972282.232179601</v>
      </c>
      <c r="P34" s="8">
        <v>49201744.266179599</v>
      </c>
      <c r="Q34" s="8">
        <f>VLOOKUP($B34,'Costdrivere gns.'!$A:$H,COLUMN('Costdrivere gns.'!C:C),FALSE)</f>
        <v>2074091.7949999999</v>
      </c>
      <c r="R34" s="8">
        <f>VLOOKUP($B34,'Costdrivere gns.'!$A:$H,COLUMN('Costdrivere gns.'!D:D),FALSE)</f>
        <v>6007936.0650000004</v>
      </c>
      <c r="S34" s="8">
        <f>VLOOKUP($B34,'Costdrivere gns.'!$A:$H,COLUMN('Costdrivere gns.'!E:E),FALSE)</f>
        <v>642393.72</v>
      </c>
      <c r="T34" s="8">
        <f>VLOOKUP($B34,'Costdrivere gns.'!$A:$H,COLUMN('Costdrivere gns.'!F:F),FALSE)</f>
        <v>4728332.2450000001</v>
      </c>
      <c r="U34" s="8">
        <f>VLOOKUP($B34,'Costdrivere gns.'!$A:$H,COLUMN('Costdrivere gns.'!G:G),FALSE)</f>
        <v>2185082.2650000001</v>
      </c>
      <c r="V34" s="8">
        <f>VLOOKUP(B34,'Costdrivere gns.'!$A$3:$H$77,COLUMN('Costdrivere gns.'!$H$2))</f>
        <v>4459170.1500000004</v>
      </c>
      <c r="W34" s="8">
        <f>AVERAGE(VLOOKUP(B34,'Costdrivere 2024'!$A$3:$AC$77,COLUMN('Costdrivere 2024'!$AC$2),FALSE),VLOOKUP(B34,'Costdrivere 2025'!$A$3:$AC$77,COLUMN('Costdrivere 2025'!$AC$2),FALSE))</f>
        <v>5410815.7057776023</v>
      </c>
      <c r="X34" s="8">
        <f>AVERAGE(VLOOKUP(B34,'Costdrivere 2024'!$A$3:$AD$77,COLUMN('Costdrivere 2024'!$AD$2),FALSE),VLOOKUP(B34,'Costdrivere 2025'!$A$3:$AD$77,COLUMN('Costdrivere 2025'!$AD$2),FALSE))</f>
        <v>16335446.270708721</v>
      </c>
      <c r="Y34" s="8">
        <v>2074091.7949999999</v>
      </c>
      <c r="Z34" s="8">
        <v>6007936.0650000004</v>
      </c>
      <c r="AA34" s="8">
        <v>642393.72</v>
      </c>
      <c r="AB34" s="8">
        <v>4728332.2450000001</v>
      </c>
      <c r="AC34" s="8">
        <v>2185082.2650000001</v>
      </c>
      <c r="AD34" s="8">
        <v>4459170.1500000004</v>
      </c>
      <c r="AE34" s="8">
        <v>5410815.7057776023</v>
      </c>
      <c r="AF34" s="8">
        <v>16335446.270708721</v>
      </c>
      <c r="AG34" s="8">
        <f>AVERAGE(VLOOKUP(B34,'Costdrivere 2024'!$A$3:$X$77,COLUMN('Costdrivere 2024'!X:X)),VLOOKUP(B34,'Costdrivere 2025'!$A$3:$X$77,COLUMN('Costdrivere 2025'!X:X)))</f>
        <v>4219415.5</v>
      </c>
      <c r="AH34" s="8">
        <f>AVERAGE(VLOOKUP(B34,'Costdrivere 2024'!$A$3:$Y$77,COLUMN('Costdrivere 2024'!Y:Y)),VLOOKUP(B34,'Costdrivere 2025'!$A$3:$Y$77,COLUMN('Costdrivere 2025'!Y:Y)))</f>
        <v>4635318</v>
      </c>
      <c r="AI34" s="8">
        <v>4219415.5</v>
      </c>
      <c r="AJ34" s="8">
        <v>4635318</v>
      </c>
    </row>
    <row r="35" spans="1:36" x14ac:dyDescent="0.25">
      <c r="A35" s="5" t="s">
        <v>185</v>
      </c>
      <c r="B35" s="5" t="s">
        <v>34</v>
      </c>
      <c r="C35" s="6">
        <f>VLOOKUP($B35,'Netvolumenmål gns.'!$A:$S,COLUMN('Netvolumenmål gns.'!C:C),FALSE)</f>
        <v>34.876146500000004</v>
      </c>
      <c r="D35" s="7">
        <f>VLOOKUP($B35,'Netvolumenmål gns.'!$A:$S,COLUMN('Netvolumenmål gns.'!D:D),FALSE)</f>
        <v>0.13569520990416672</v>
      </c>
      <c r="E35" s="8">
        <f>VLOOKUP($B35,'Netvolumenmål gns.'!$A:$S,COLUMN('Netvolumenmål gns.'!E:E),FALSE)</f>
        <v>5400952.1701022806</v>
      </c>
      <c r="F35" s="8">
        <f>VLOOKUP($B35,'Netvolumenmål gns.'!$A:$S,COLUMN('Netvolumenmål gns.'!F:F),FALSE)</f>
        <v>9119324.8952646926</v>
      </c>
      <c r="G35" s="8">
        <f>VLOOKUP($B35,'Netvolumenmål gns.'!$A:$S,COLUMN('Netvolumenmål gns.'!P:P),FALSE)</f>
        <v>8070344.1438499996</v>
      </c>
      <c r="H35" s="8">
        <f>VLOOKUP($B35,'Netvolumenmål gns.'!$A:$S,COLUMN('Netvolumenmål gns.'!Q:Q),FALSE)</f>
        <v>12965836.064661004</v>
      </c>
      <c r="I35" s="8">
        <f>VLOOKUP($B35,'Netvolumenmål gns.'!$A:$S,COLUMN('Netvolumenmål gns.'!R:R),FALSE)</f>
        <v>21036180.208511002</v>
      </c>
      <c r="J35" s="6">
        <v>34.876146500000004</v>
      </c>
      <c r="K35" s="7">
        <v>0.13569520990416672</v>
      </c>
      <c r="L35" s="8">
        <v>5400952.1701022806</v>
      </c>
      <c r="M35" s="8">
        <v>9119324.8952646926</v>
      </c>
      <c r="N35" s="8">
        <v>8070344.1438499996</v>
      </c>
      <c r="O35" s="8">
        <v>12965836.064661004</v>
      </c>
      <c r="P35" s="8">
        <v>21036180.208511002</v>
      </c>
      <c r="Q35" s="8">
        <f>VLOOKUP($B35,'Costdrivere gns.'!$A:$H,COLUMN('Costdrivere gns.'!C:C),FALSE)</f>
        <v>353263.36499999999</v>
      </c>
      <c r="R35" s="8">
        <f>VLOOKUP($B35,'Costdrivere gns.'!$A:$H,COLUMN('Costdrivere gns.'!D:D),FALSE)</f>
        <v>1086542.06</v>
      </c>
      <c r="S35" s="8">
        <f>VLOOKUP($B35,'Costdrivere gns.'!$A:$H,COLUMN('Costdrivere gns.'!E:E),FALSE)</f>
        <v>308993.37</v>
      </c>
      <c r="T35" s="8">
        <f>VLOOKUP($B35,'Costdrivere gns.'!$A:$H,COLUMN('Costdrivere gns.'!F:F),FALSE)</f>
        <v>2468691.5</v>
      </c>
      <c r="U35" s="8">
        <f>VLOOKUP($B35,'Costdrivere gns.'!$A:$H,COLUMN('Costdrivere gns.'!G:G),FALSE)</f>
        <v>1183461.875</v>
      </c>
      <c r="V35" s="8">
        <f>VLOOKUP(B35,'Costdrivere gns.'!$A$3:$H$77,COLUMN('Costdrivere gns.'!$H$2))</f>
        <v>2652465.5649999999</v>
      </c>
      <c r="W35" s="8">
        <f>AVERAGE(VLOOKUP(B35,'Costdrivere 2024'!$A$3:$AC$77,COLUMN('Costdrivere 2024'!$AC$2),FALSE),VLOOKUP(B35,'Costdrivere 2025'!$A$3:$AC$77,COLUMN('Costdrivere 2025'!$AC$2),FALSE))</f>
        <v>476560.3430477982</v>
      </c>
      <c r="X35" s="8">
        <f>AVERAGE(VLOOKUP(B35,'Costdrivere 2024'!$A$3:$AD$77,COLUMN('Costdrivere 2024'!$AD$2),FALSE),VLOOKUP(B35,'Costdrivere 2025'!$A$3:$AD$77,COLUMN('Costdrivere 2025'!$AD$2),FALSE))</f>
        <v>8257433.5522168931</v>
      </c>
      <c r="Y35" s="8">
        <v>353263.36499999999</v>
      </c>
      <c r="Z35" s="8">
        <v>1086542.06</v>
      </c>
      <c r="AA35" s="8">
        <v>308993.37</v>
      </c>
      <c r="AB35" s="8">
        <v>2468691.5</v>
      </c>
      <c r="AC35" s="8">
        <v>1183461.875</v>
      </c>
      <c r="AD35" s="8">
        <v>2652465.5649999999</v>
      </c>
      <c r="AE35" s="8">
        <v>476560.3430477982</v>
      </c>
      <c r="AF35" s="8">
        <v>8257433.5522168931</v>
      </c>
      <c r="AG35" s="8">
        <f>AVERAGE(VLOOKUP(B35,'Costdrivere 2024'!$A$3:$X$77,COLUMN('Costdrivere 2024'!X:X)),VLOOKUP(B35,'Costdrivere 2025'!$A$3:$X$77,COLUMN('Costdrivere 2025'!X:X)))</f>
        <v>2332445</v>
      </c>
      <c r="AH35" s="8">
        <f>AVERAGE(VLOOKUP(B35,'Costdrivere 2024'!$A$3:$Y$77,COLUMN('Costdrivere 2024'!Y:Y)),VLOOKUP(B35,'Costdrivere 2025'!$A$3:$Y$77,COLUMN('Costdrivere 2025'!Y:Y)))</f>
        <v>649092.5</v>
      </c>
      <c r="AI35" s="8">
        <v>2332445</v>
      </c>
      <c r="AJ35" s="8">
        <v>649092.5</v>
      </c>
    </row>
    <row r="36" spans="1:36" x14ac:dyDescent="0.25">
      <c r="A36" s="5" t="s">
        <v>138</v>
      </c>
      <c r="B36" s="5" t="s">
        <v>35</v>
      </c>
      <c r="C36" s="6">
        <f>VLOOKUP($B36,'Netvolumenmål gns.'!$A:$S,COLUMN('Netvolumenmål gns.'!C:C),FALSE)</f>
        <v>32.829024000000004</v>
      </c>
      <c r="D36" s="7">
        <f>VLOOKUP($B36,'Netvolumenmål gns.'!$A:$S,COLUMN('Netvolumenmål gns.'!D:D),FALSE)</f>
        <v>0.10029956919210864</v>
      </c>
      <c r="E36" s="8">
        <f>VLOOKUP($B36,'Netvolumenmål gns.'!$A:$S,COLUMN('Netvolumenmål gns.'!E:E),FALSE)</f>
        <v>2299181.4285872048</v>
      </c>
      <c r="F36" s="8">
        <f>VLOOKUP($B36,'Netvolumenmål gns.'!$A:$S,COLUMN('Netvolumenmål gns.'!F:F),FALSE)</f>
        <v>5723740.7681878256</v>
      </c>
      <c r="G36" s="8">
        <f>VLOOKUP($B36,'Netvolumenmål gns.'!$A:$S,COLUMN('Netvolumenmål gns.'!P:P),FALSE)</f>
        <v>4585166.3977000006</v>
      </c>
      <c r="H36" s="8">
        <f>VLOOKUP($B36,'Netvolumenmål gns.'!$A:$S,COLUMN('Netvolumenmål gns.'!Q:Q),FALSE)</f>
        <v>9650476.4638847969</v>
      </c>
      <c r="I36" s="8">
        <f>VLOOKUP($B36,'Netvolumenmål gns.'!$A:$S,COLUMN('Netvolumenmål gns.'!R:R),FALSE)</f>
        <v>14235642.861584798</v>
      </c>
      <c r="J36" s="6">
        <v>32.829024000000004</v>
      </c>
      <c r="K36" s="7">
        <v>0.10029956919210864</v>
      </c>
      <c r="L36" s="8">
        <v>2299181.4285872048</v>
      </c>
      <c r="M36" s="8">
        <v>5723740.7681878256</v>
      </c>
      <c r="N36" s="8">
        <v>4585166.3977000006</v>
      </c>
      <c r="O36" s="8">
        <v>9650476.4638847969</v>
      </c>
      <c r="P36" s="8">
        <v>14235642.861584798</v>
      </c>
      <c r="Q36" s="8">
        <f>VLOOKUP($B36,'Costdrivere gns.'!$A:$H,COLUMN('Costdrivere gns.'!C:C),FALSE)</f>
        <v>0</v>
      </c>
      <c r="R36" s="8">
        <f>VLOOKUP($B36,'Costdrivere gns.'!$A:$H,COLUMN('Costdrivere gns.'!D:D),FALSE)</f>
        <v>0</v>
      </c>
      <c r="S36" s="8">
        <f>VLOOKUP($B36,'Costdrivere gns.'!$A:$H,COLUMN('Costdrivere gns.'!E:E),FALSE)</f>
        <v>104835.35</v>
      </c>
      <c r="T36" s="8">
        <f>VLOOKUP($B36,'Costdrivere gns.'!$A:$H,COLUMN('Costdrivere gns.'!F:F),FALSE)</f>
        <v>1221054.9850000001</v>
      </c>
      <c r="U36" s="8">
        <f>VLOOKUP($B36,'Costdrivere gns.'!$A:$H,COLUMN('Costdrivere gns.'!G:G),FALSE)</f>
        <v>973291.09499999997</v>
      </c>
      <c r="V36" s="8">
        <f>VLOOKUP(B36,'Costdrivere gns.'!$A$3:$H$77,COLUMN('Costdrivere gns.'!$H$2))</f>
        <v>1475829.34</v>
      </c>
      <c r="W36" s="8">
        <f>AVERAGE(VLOOKUP(B36,'Costdrivere 2024'!$A$3:$AC$77,COLUMN('Costdrivere 2024'!$AC$2),FALSE),VLOOKUP(B36,'Costdrivere 2025'!$A$3:$AC$77,COLUMN('Costdrivere 2025'!$AC$2),FALSE))</f>
        <v>225364.04278193839</v>
      </c>
      <c r="X36" s="8">
        <f>AVERAGE(VLOOKUP(B36,'Costdrivere 2024'!$A$3:$AD$77,COLUMN('Costdrivere 2024'!$AD$2),FALSE),VLOOKUP(B36,'Costdrivere 2025'!$A$3:$AD$77,COLUMN('Costdrivere 2025'!$AD$2),FALSE))</f>
        <v>5052680.2273058873</v>
      </c>
      <c r="Y36" s="8">
        <v>0</v>
      </c>
      <c r="Z36" s="8">
        <v>0</v>
      </c>
      <c r="AA36" s="8">
        <v>104835.35</v>
      </c>
      <c r="AB36" s="8">
        <v>1221054.9850000001</v>
      </c>
      <c r="AC36" s="8">
        <v>973291.09499999997</v>
      </c>
      <c r="AD36" s="8">
        <v>1475829.34</v>
      </c>
      <c r="AE36" s="8">
        <v>225364.04278193839</v>
      </c>
      <c r="AF36" s="8">
        <v>5052680.2273058873</v>
      </c>
      <c r="AG36" s="8">
        <f>AVERAGE(VLOOKUP(B36,'Costdrivere 2024'!$A$3:$X$77,COLUMN('Costdrivere 2024'!X:X)),VLOOKUP(B36,'Costdrivere 2025'!$A$3:$X$77,COLUMN('Costdrivere 2025'!X:X)))</f>
        <v>1231671</v>
      </c>
      <c r="AH36" s="8">
        <f>AVERAGE(VLOOKUP(B36,'Costdrivere 2024'!$A$3:$Y$77,COLUMN('Costdrivere 2024'!Y:Y)),VLOOKUP(B36,'Costdrivere 2025'!$A$3:$Y$77,COLUMN('Costdrivere 2025'!Y:Y)))</f>
        <v>0</v>
      </c>
      <c r="AI36" s="8">
        <v>1231671</v>
      </c>
      <c r="AJ36" s="8">
        <v>0</v>
      </c>
    </row>
    <row r="37" spans="1:36" x14ac:dyDescent="0.25">
      <c r="A37" s="5" t="s">
        <v>36</v>
      </c>
      <c r="B37" s="5" t="s">
        <v>37</v>
      </c>
      <c r="C37" s="6">
        <f>VLOOKUP($B37,'Netvolumenmål gns.'!$A:$S,COLUMN('Netvolumenmål gns.'!C:C),FALSE)</f>
        <v>30.218640999999998</v>
      </c>
      <c r="D37" s="7">
        <f>VLOOKUP($B37,'Netvolumenmål gns.'!$A:$S,COLUMN('Netvolumenmål gns.'!D:D),FALSE)</f>
        <v>3.3760569929706857E-2</v>
      </c>
      <c r="E37" s="8">
        <f>VLOOKUP($B37,'Netvolumenmål gns.'!$A:$S,COLUMN('Netvolumenmål gns.'!E:E),FALSE)</f>
        <v>4369624.0347966403</v>
      </c>
      <c r="F37" s="8">
        <f>VLOOKUP($B37,'Netvolumenmål gns.'!$A:$S,COLUMN('Netvolumenmål gns.'!F:F),FALSE)</f>
        <v>8157080.5463805962</v>
      </c>
      <c r="G37" s="8">
        <f>VLOOKUP($B37,'Netvolumenmål gns.'!$A:$S,COLUMN('Netvolumenmål gns.'!P:P),FALSE)</f>
        <v>4133493.6954999999</v>
      </c>
      <c r="H37" s="8">
        <f>VLOOKUP($B37,'Netvolumenmål gns.'!$A:$S,COLUMN('Netvolumenmål gns.'!Q:Q),FALSE)</f>
        <v>7011141.3218739871</v>
      </c>
      <c r="I37" s="8">
        <f>VLOOKUP($B37,'Netvolumenmål gns.'!$A:$S,COLUMN('Netvolumenmål gns.'!R:R),FALSE)</f>
        <v>11144635.017373987</v>
      </c>
      <c r="J37" s="6">
        <v>30.218640999999998</v>
      </c>
      <c r="K37" s="7">
        <v>3.3760569929706857E-2</v>
      </c>
      <c r="L37" s="8">
        <v>4369624.0347966403</v>
      </c>
      <c r="M37" s="8">
        <v>8157080.5463805962</v>
      </c>
      <c r="N37" s="8">
        <v>4133493.6954999999</v>
      </c>
      <c r="O37" s="8">
        <v>7011141.3218739871</v>
      </c>
      <c r="P37" s="8">
        <v>11144635.017373987</v>
      </c>
      <c r="Q37" s="8">
        <f>VLOOKUP($B37,'Costdrivere gns.'!$A:$H,COLUMN('Costdrivere gns.'!C:C),FALSE)</f>
        <v>470025.79499999998</v>
      </c>
      <c r="R37" s="8">
        <f>VLOOKUP($B37,'Costdrivere gns.'!$A:$H,COLUMN('Costdrivere gns.'!D:D),FALSE)</f>
        <v>1383649.17</v>
      </c>
      <c r="S37" s="8">
        <f>VLOOKUP($B37,'Costdrivere gns.'!$A:$H,COLUMN('Costdrivere gns.'!E:E),FALSE)</f>
        <v>141920.15</v>
      </c>
      <c r="T37" s="8">
        <f>VLOOKUP($B37,'Costdrivere gns.'!$A:$H,COLUMN('Costdrivere gns.'!F:F),FALSE)</f>
        <v>1376383.8049999999</v>
      </c>
      <c r="U37" s="8">
        <f>VLOOKUP($B37,'Costdrivere gns.'!$A:$H,COLUMN('Costdrivere gns.'!G:G),FALSE)</f>
        <v>997645.11</v>
      </c>
      <c r="V37" s="8">
        <f>VLOOKUP(B37,'Costdrivere gns.'!$A$3:$H$77,COLUMN('Costdrivere gns.'!$H$2))</f>
        <v>1063306.2450000001</v>
      </c>
      <c r="W37" s="8">
        <f>AVERAGE(VLOOKUP(B37,'Costdrivere 2024'!$A$3:$AC$77,COLUMN('Costdrivere 2024'!$AC$2),FALSE),VLOOKUP(B37,'Costdrivere 2025'!$A$3:$AC$77,COLUMN('Costdrivere 2025'!$AC$2),FALSE))</f>
        <v>1566769.2908805956</v>
      </c>
      <c r="X37" s="8">
        <f>AVERAGE(VLOOKUP(B37,'Costdrivere 2024'!$A$3:$AD$77,COLUMN('Costdrivere 2024'!$AD$2),FALSE),VLOOKUP(B37,'Costdrivere 2025'!$A$3:$AD$77,COLUMN('Costdrivere 2025'!$AD$2),FALSE))</f>
        <v>6440311.2555</v>
      </c>
      <c r="Y37" s="8">
        <v>470025.79499999998</v>
      </c>
      <c r="Z37" s="8">
        <v>1383649.17</v>
      </c>
      <c r="AA37" s="8">
        <v>141920.15</v>
      </c>
      <c r="AB37" s="8">
        <v>1376383.8049999999</v>
      </c>
      <c r="AC37" s="8">
        <v>997645.11</v>
      </c>
      <c r="AD37" s="8">
        <v>1063306.2450000001</v>
      </c>
      <c r="AE37" s="8">
        <v>1566769.2908805956</v>
      </c>
      <c r="AF37" s="8">
        <v>6440311.2555</v>
      </c>
      <c r="AG37" s="8">
        <f>AVERAGE(VLOOKUP(B37,'Costdrivere 2024'!$A$3:$X$77,COLUMN('Costdrivere 2024'!X:X)),VLOOKUP(B37,'Costdrivere 2025'!$A$3:$X$77,COLUMN('Costdrivere 2025'!X:X)))</f>
        <v>854969.5</v>
      </c>
      <c r="AH37" s="8">
        <f>AVERAGE(VLOOKUP(B37,'Costdrivere 2024'!$A$3:$Y$77,COLUMN('Costdrivere 2024'!Y:Y)),VLOOKUP(B37,'Costdrivere 2025'!$A$3:$Y$77,COLUMN('Costdrivere 2025'!Y:Y)))</f>
        <v>889743</v>
      </c>
      <c r="AI37" s="8">
        <v>854969.5</v>
      </c>
      <c r="AJ37" s="8">
        <v>889743</v>
      </c>
    </row>
    <row r="38" spans="1:36" x14ac:dyDescent="0.25">
      <c r="A38" s="5" t="s">
        <v>186</v>
      </c>
      <c r="B38" s="5" t="s">
        <v>38</v>
      </c>
      <c r="C38" s="6">
        <f>VLOOKUP($B38,'Netvolumenmål gns.'!$A:$S,COLUMN('Netvolumenmål gns.'!C:C),FALSE)</f>
        <v>31.2172375</v>
      </c>
      <c r="D38" s="7">
        <f>VLOOKUP($B38,'Netvolumenmål gns.'!$A:$S,COLUMN('Netvolumenmål gns.'!D:D),FALSE)</f>
        <v>0.13027547992805141</v>
      </c>
      <c r="E38" s="8">
        <f>VLOOKUP($B38,'Netvolumenmål gns.'!$A:$S,COLUMN('Netvolumenmål gns.'!E:E),FALSE)</f>
        <v>3238363.2633542791</v>
      </c>
      <c r="F38" s="8">
        <f>VLOOKUP($B38,'Netvolumenmål gns.'!$A:$S,COLUMN('Netvolumenmål gns.'!F:F),FALSE)</f>
        <v>5104756.0014570458</v>
      </c>
      <c r="G38" s="8">
        <f>VLOOKUP($B38,'Netvolumenmål gns.'!$A:$S,COLUMN('Netvolumenmål gns.'!P:P),FALSE)</f>
        <v>7761576.3233500002</v>
      </c>
      <c r="H38" s="8">
        <f>VLOOKUP($B38,'Netvolumenmål gns.'!$A:$S,COLUMN('Netvolumenmål gns.'!Q:Q),FALSE)</f>
        <v>7361088.0639498215</v>
      </c>
      <c r="I38" s="8">
        <f>VLOOKUP($B38,'Netvolumenmål gns.'!$A:$S,COLUMN('Netvolumenmål gns.'!R:R),FALSE)</f>
        <v>15122664.387299821</v>
      </c>
      <c r="J38" s="6">
        <v>31.2172375</v>
      </c>
      <c r="K38" s="7">
        <v>0.13027547992805141</v>
      </c>
      <c r="L38" s="8">
        <v>3238363.2633542791</v>
      </c>
      <c r="M38" s="8">
        <v>5104756.0014570458</v>
      </c>
      <c r="N38" s="8">
        <v>7761576.3233500002</v>
      </c>
      <c r="O38" s="8">
        <v>7361088.0639498215</v>
      </c>
      <c r="P38" s="8">
        <v>15122664.387299821</v>
      </c>
      <c r="Q38" s="8">
        <f>VLOOKUP($B38,'Costdrivere gns.'!$A:$H,COLUMN('Costdrivere gns.'!C:C),FALSE)</f>
        <v>357519.46500000003</v>
      </c>
      <c r="R38" s="8">
        <f>VLOOKUP($B38,'Costdrivere gns.'!$A:$H,COLUMN('Costdrivere gns.'!D:D),FALSE)</f>
        <v>1126888.79</v>
      </c>
      <c r="S38" s="8">
        <f>VLOOKUP($B38,'Costdrivere gns.'!$A:$H,COLUMN('Costdrivere gns.'!E:E),FALSE)</f>
        <v>147753.35</v>
      </c>
      <c r="T38" s="8">
        <f>VLOOKUP($B38,'Costdrivere gns.'!$A:$H,COLUMN('Costdrivere gns.'!F:F),FALSE)</f>
        <v>1049958.93</v>
      </c>
      <c r="U38" s="8">
        <f>VLOOKUP($B38,'Costdrivere gns.'!$A:$H,COLUMN('Costdrivere gns.'!G:G),FALSE)</f>
        <v>556242.72499999998</v>
      </c>
      <c r="V38" s="8">
        <f>VLOOKUP(B38,'Costdrivere gns.'!$A$3:$H$77,COLUMN('Costdrivere gns.'!$H$2))</f>
        <v>1297654.9850000001</v>
      </c>
      <c r="W38" s="8">
        <f>AVERAGE(VLOOKUP(B38,'Costdrivere 2024'!$A$3:$AC$77,COLUMN('Costdrivere 2024'!$AC$2),FALSE),VLOOKUP(B38,'Costdrivere 2025'!$A$3:$AC$77,COLUMN('Costdrivere 2025'!$AC$2),FALSE))</f>
        <v>684344.74604344158</v>
      </c>
      <c r="X38" s="8">
        <f>AVERAGE(VLOOKUP(B38,'Costdrivere 2024'!$A$3:$AD$77,COLUMN('Costdrivere 2024'!$AD$2),FALSE),VLOOKUP(B38,'Costdrivere 2025'!$A$3:$AD$77,COLUMN('Costdrivere 2025'!$AD$2),FALSE))</f>
        <v>4347911.255413604</v>
      </c>
      <c r="Y38" s="8">
        <v>357519.46500000003</v>
      </c>
      <c r="Z38" s="8">
        <v>1126888.79</v>
      </c>
      <c r="AA38" s="8">
        <v>147753.35</v>
      </c>
      <c r="AB38" s="8">
        <v>1049958.93</v>
      </c>
      <c r="AC38" s="8">
        <v>556242.72499999998</v>
      </c>
      <c r="AD38" s="8">
        <v>1297654.9850000001</v>
      </c>
      <c r="AE38" s="8">
        <v>684344.74604344158</v>
      </c>
      <c r="AF38" s="8">
        <v>4347911.255413604</v>
      </c>
      <c r="AG38" s="8">
        <f>AVERAGE(VLOOKUP(B38,'Costdrivere 2024'!$A$3:$X$77,COLUMN('Costdrivere 2024'!X:X)),VLOOKUP(B38,'Costdrivere 2025'!$A$3:$X$77,COLUMN('Costdrivere 2025'!X:X)))</f>
        <v>1067266</v>
      </c>
      <c r="AH38" s="8">
        <f>AVERAGE(VLOOKUP(B38,'Costdrivere 2024'!$A$3:$Y$77,COLUMN('Costdrivere 2024'!Y:Y)),VLOOKUP(B38,'Costdrivere 2025'!$A$3:$Y$77,COLUMN('Costdrivere 2025'!Y:Y)))</f>
        <v>681772.5</v>
      </c>
      <c r="AI38" s="8">
        <v>1067266</v>
      </c>
      <c r="AJ38" s="8">
        <v>681772.5</v>
      </c>
    </row>
    <row r="39" spans="1:36" x14ac:dyDescent="0.25">
      <c r="A39" s="5" t="s">
        <v>139</v>
      </c>
      <c r="B39" s="5" t="s">
        <v>39</v>
      </c>
      <c r="C39" s="6">
        <f>VLOOKUP($B39,'Netvolumenmål gns.'!$A:$S,COLUMN('Netvolumenmål gns.'!C:C),FALSE)</f>
        <v>20.567446499999999</v>
      </c>
      <c r="D39" s="7">
        <f>VLOOKUP($B39,'Netvolumenmål gns.'!$A:$S,COLUMN('Netvolumenmål gns.'!D:D),FALSE)</f>
        <v>3.7730723373428514E-4</v>
      </c>
      <c r="E39" s="8">
        <f>VLOOKUP($B39,'Netvolumenmål gns.'!$A:$S,COLUMN('Netvolumenmål gns.'!E:E),FALSE)</f>
        <v>6329841.3933264976</v>
      </c>
      <c r="F39" s="8">
        <f>VLOOKUP($B39,'Netvolumenmål gns.'!$A:$S,COLUMN('Netvolumenmål gns.'!F:F),FALSE)</f>
        <v>2741698.6869686306</v>
      </c>
      <c r="G39" s="8">
        <f>VLOOKUP($B39,'Netvolumenmål gns.'!$A:$S,COLUMN('Netvolumenmål gns.'!P:P),FALSE)</f>
        <v>9625366.4085999988</v>
      </c>
      <c r="H39" s="8">
        <f>VLOOKUP($B39,'Netvolumenmål gns.'!$A:$S,COLUMN('Netvolumenmål gns.'!Q:Q),FALSE)</f>
        <v>6775606.6574723646</v>
      </c>
      <c r="I39" s="8">
        <f>VLOOKUP($B39,'Netvolumenmål gns.'!$A:$S,COLUMN('Netvolumenmål gns.'!R:R),FALSE)</f>
        <v>16400973.066072363</v>
      </c>
      <c r="J39" s="6">
        <v>20.567446499999999</v>
      </c>
      <c r="K39" s="7">
        <v>3.7730723373428514E-4</v>
      </c>
      <c r="L39" s="8">
        <v>6329841.3933264976</v>
      </c>
      <c r="M39" s="8">
        <v>2741698.6869686306</v>
      </c>
      <c r="N39" s="8">
        <v>9625366.4085999988</v>
      </c>
      <c r="O39" s="8">
        <v>6775606.6574723646</v>
      </c>
      <c r="P39" s="8">
        <v>16400973.066072363</v>
      </c>
      <c r="Q39" s="8">
        <f>VLOOKUP($B39,'Costdrivere gns.'!$A:$H,COLUMN('Costdrivere gns.'!C:C),FALSE)</f>
        <v>0</v>
      </c>
      <c r="R39" s="8">
        <f>VLOOKUP($B39,'Costdrivere gns.'!$A:$H,COLUMN('Costdrivere gns.'!D:D),FALSE)</f>
        <v>6085966.1449999996</v>
      </c>
      <c r="S39" s="8">
        <f>VLOOKUP($B39,'Costdrivere gns.'!$A:$H,COLUMN('Costdrivere gns.'!E:E),FALSE)</f>
        <v>151163.35</v>
      </c>
      <c r="T39" s="8">
        <f>VLOOKUP($B39,'Costdrivere gns.'!$A:$H,COLUMN('Costdrivere gns.'!F:F),FALSE)</f>
        <v>90220.34</v>
      </c>
      <c r="U39" s="8">
        <f>VLOOKUP($B39,'Costdrivere gns.'!$A:$H,COLUMN('Costdrivere gns.'!G:G),FALSE)</f>
        <v>2491.56</v>
      </c>
      <c r="V39" s="8">
        <f>VLOOKUP(B39,'Costdrivere gns.'!$A$3:$H$77,COLUMN('Costdrivere gns.'!$H$2))</f>
        <v>4001752.2650000001</v>
      </c>
      <c r="W39" s="8">
        <f>AVERAGE(VLOOKUP(B39,'Costdrivere 2024'!$A$3:$AC$77,COLUMN('Costdrivere 2024'!$AC$2),FALSE),VLOOKUP(B39,'Costdrivere 2025'!$A$3:$AC$77,COLUMN('Costdrivere 2025'!$AC$2),FALSE))</f>
        <v>1640468.511629581</v>
      </c>
      <c r="X39" s="8">
        <f>AVERAGE(VLOOKUP(B39,'Costdrivere 2024'!$A$3:$AD$77,COLUMN('Costdrivere 2024'!$AD$2),FALSE),VLOOKUP(B39,'Costdrivere 2025'!$A$3:$AD$77,COLUMN('Costdrivere 2025'!$AD$2),FALSE))</f>
        <v>1019935.1753390498</v>
      </c>
      <c r="Y39" s="8">
        <v>0</v>
      </c>
      <c r="Z39" s="8">
        <v>6085966.1449999996</v>
      </c>
      <c r="AA39" s="8">
        <v>151163.35</v>
      </c>
      <c r="AB39" s="8">
        <v>90220.34</v>
      </c>
      <c r="AC39" s="8">
        <v>2491.56</v>
      </c>
      <c r="AD39" s="8">
        <v>4001752.2650000001</v>
      </c>
      <c r="AE39" s="8">
        <v>1640468.511629581</v>
      </c>
      <c r="AF39" s="8">
        <v>1019935.1753390498</v>
      </c>
      <c r="AG39" s="8">
        <f>AVERAGE(VLOOKUP(B39,'Costdrivere 2024'!$A$3:$X$77,COLUMN('Costdrivere 2024'!X:X)),VLOOKUP(B39,'Costdrivere 2025'!$A$3:$X$77,COLUMN('Costdrivere 2025'!X:X)))</f>
        <v>3740326</v>
      </c>
      <c r="AH39" s="8">
        <f>AVERAGE(VLOOKUP(B39,'Costdrivere 2024'!$A$3:$Y$77,COLUMN('Costdrivere 2024'!Y:Y)),VLOOKUP(B39,'Costdrivere 2025'!$A$3:$Y$77,COLUMN('Costdrivere 2025'!Y:Y)))</f>
        <v>3923445</v>
      </c>
      <c r="AI39" s="8">
        <v>3740326</v>
      </c>
      <c r="AJ39" s="8">
        <v>3923445</v>
      </c>
    </row>
    <row r="40" spans="1:36" x14ac:dyDescent="0.25">
      <c r="A40" s="5" t="s">
        <v>187</v>
      </c>
      <c r="B40" s="5" t="s">
        <v>40</v>
      </c>
      <c r="C40" s="6">
        <f>VLOOKUP($B40,'Netvolumenmål gns.'!$A:$S,COLUMN('Netvolumenmål gns.'!C:C),FALSE)</f>
        <v>30.350113999999998</v>
      </c>
      <c r="D40" s="7">
        <f>VLOOKUP($B40,'Netvolumenmål gns.'!$A:$S,COLUMN('Netvolumenmål gns.'!D:D),FALSE)</f>
        <v>2.7286132493102206E-2</v>
      </c>
      <c r="E40" s="8">
        <f>VLOOKUP($B40,'Netvolumenmål gns.'!$A:$S,COLUMN('Netvolumenmål gns.'!E:E),FALSE)</f>
        <v>8633247.4426811747</v>
      </c>
      <c r="F40" s="8">
        <f>VLOOKUP($B40,'Netvolumenmål gns.'!$A:$S,COLUMN('Netvolumenmål gns.'!F:F),FALSE)</f>
        <v>14885296.387841694</v>
      </c>
      <c r="G40" s="8">
        <f>VLOOKUP($B40,'Netvolumenmål gns.'!$A:$S,COLUMN('Netvolumenmål gns.'!P:P),FALSE)</f>
        <v>18180270.923</v>
      </c>
      <c r="H40" s="8">
        <f>VLOOKUP($B40,'Netvolumenmål gns.'!$A:$S,COLUMN('Netvolumenmål gns.'!Q:Q),FALSE)</f>
        <v>22843462.817112714</v>
      </c>
      <c r="I40" s="8">
        <f>VLOOKUP($B40,'Netvolumenmål gns.'!$A:$S,COLUMN('Netvolumenmål gns.'!R:R),FALSE)</f>
        <v>41023733.740112714</v>
      </c>
      <c r="J40" s="6">
        <v>30.350113999999998</v>
      </c>
      <c r="K40" s="7">
        <v>2.7286132493102206E-2</v>
      </c>
      <c r="L40" s="8">
        <v>8633247.4426811747</v>
      </c>
      <c r="M40" s="8">
        <v>14885296.387841694</v>
      </c>
      <c r="N40" s="8">
        <v>18180270.923</v>
      </c>
      <c r="O40" s="8">
        <v>22843462.817112714</v>
      </c>
      <c r="P40" s="8">
        <v>41023733.740112714</v>
      </c>
      <c r="Q40" s="8">
        <f>VLOOKUP($B40,'Costdrivere gns.'!$A:$H,COLUMN('Costdrivere gns.'!C:C),FALSE)</f>
        <v>1053921.105</v>
      </c>
      <c r="R40" s="8">
        <f>VLOOKUP($B40,'Costdrivere gns.'!$A:$H,COLUMN('Costdrivere gns.'!D:D),FALSE)</f>
        <v>4596859.0599999996</v>
      </c>
      <c r="S40" s="8">
        <f>VLOOKUP($B40,'Costdrivere gns.'!$A:$H,COLUMN('Costdrivere gns.'!E:E),FALSE)</f>
        <v>182690.87</v>
      </c>
      <c r="T40" s="8">
        <f>VLOOKUP($B40,'Costdrivere gns.'!$A:$H,COLUMN('Costdrivere gns.'!F:F),FALSE)</f>
        <v>1902760.14</v>
      </c>
      <c r="U40" s="8">
        <f>VLOOKUP($B40,'Costdrivere gns.'!$A:$H,COLUMN('Costdrivere gns.'!G:G),FALSE)</f>
        <v>897016.26500000001</v>
      </c>
      <c r="V40" s="8">
        <f>VLOOKUP(B40,'Costdrivere gns.'!$A$3:$H$77,COLUMN('Costdrivere gns.'!$H$2))</f>
        <v>3901030.875</v>
      </c>
      <c r="W40" s="8">
        <f>AVERAGE(VLOOKUP(B40,'Costdrivere 2024'!$A$3:$AC$77,COLUMN('Costdrivere 2024'!$AC$2),FALSE),VLOOKUP(B40,'Costdrivere 2025'!$A$3:$AC$77,COLUMN('Costdrivere 2025'!$AC$2),FALSE))</f>
        <v>2995791.1955011804</v>
      </c>
      <c r="X40" s="8">
        <f>AVERAGE(VLOOKUP(B40,'Costdrivere 2024'!$A$3:$AD$77,COLUMN('Costdrivere 2024'!$AD$2),FALSE),VLOOKUP(B40,'Costdrivere 2025'!$A$3:$AD$77,COLUMN('Costdrivere 2025'!$AD$2),FALSE))</f>
        <v>10072699.192340514</v>
      </c>
      <c r="Y40" s="8">
        <v>1053921.105</v>
      </c>
      <c r="Z40" s="8">
        <v>4596859.0599999996</v>
      </c>
      <c r="AA40" s="8">
        <v>182690.87</v>
      </c>
      <c r="AB40" s="8">
        <v>1902760.14</v>
      </c>
      <c r="AC40" s="8">
        <v>897016.26500000001</v>
      </c>
      <c r="AD40" s="8">
        <v>3901030.875</v>
      </c>
      <c r="AE40" s="8">
        <v>2995791.1955011804</v>
      </c>
      <c r="AF40" s="8">
        <v>10072699.192340514</v>
      </c>
      <c r="AG40" s="8">
        <f>AVERAGE(VLOOKUP(B40,'Costdrivere 2024'!$A$3:$X$77,COLUMN('Costdrivere 2024'!X:X)),VLOOKUP(B40,'Costdrivere 2025'!$A$3:$X$77,COLUMN('Costdrivere 2025'!X:X)))</f>
        <v>3632577</v>
      </c>
      <c r="AH40" s="8">
        <f>AVERAGE(VLOOKUP(B40,'Costdrivere 2024'!$A$3:$Y$77,COLUMN('Costdrivere 2024'!Y:Y)),VLOOKUP(B40,'Costdrivere 2025'!$A$3:$Y$77,COLUMN('Costdrivere 2025'!Y:Y)))</f>
        <v>3481448.5</v>
      </c>
      <c r="AI40" s="8">
        <v>3632577</v>
      </c>
      <c r="AJ40" s="8">
        <v>3481448.5</v>
      </c>
    </row>
    <row r="41" spans="1:36" x14ac:dyDescent="0.25">
      <c r="A41" s="5" t="s">
        <v>188</v>
      </c>
      <c r="B41" s="5" t="s">
        <v>41</v>
      </c>
      <c r="C41" s="6">
        <f>VLOOKUP($B41,'Netvolumenmål gns.'!$A:$S,COLUMN('Netvolumenmål gns.'!C:C),FALSE)</f>
        <v>39.618721999999998</v>
      </c>
      <c r="D41" s="7">
        <f>VLOOKUP($B41,'Netvolumenmål gns.'!$A:$S,COLUMN('Netvolumenmål gns.'!D:D),FALSE)</f>
        <v>3.3740390546682666E-2</v>
      </c>
      <c r="E41" s="8">
        <f>VLOOKUP($B41,'Netvolumenmål gns.'!$A:$S,COLUMN('Netvolumenmål gns.'!E:E),FALSE)</f>
        <v>4854297.2682248112</v>
      </c>
      <c r="F41" s="8">
        <f>VLOOKUP($B41,'Netvolumenmål gns.'!$A:$S,COLUMN('Netvolumenmål gns.'!F:F),FALSE)</f>
        <v>9482731.834896611</v>
      </c>
      <c r="G41" s="8">
        <f>VLOOKUP($B41,'Netvolumenmål gns.'!$A:$S,COLUMN('Netvolumenmål gns.'!P:P),FALSE)</f>
        <v>8539708.411249999</v>
      </c>
      <c r="H41" s="8">
        <f>VLOOKUP($B41,'Netvolumenmål gns.'!$A:$S,COLUMN('Netvolumenmål gns.'!Q:Q),FALSE)</f>
        <v>8451597.9383310452</v>
      </c>
      <c r="I41" s="8">
        <f>VLOOKUP($B41,'Netvolumenmål gns.'!$A:$S,COLUMN('Netvolumenmål gns.'!R:R),FALSE)</f>
        <v>16991306.349581044</v>
      </c>
      <c r="J41" s="6">
        <v>39.618721999999998</v>
      </c>
      <c r="K41" s="7">
        <v>3.3740390546682666E-2</v>
      </c>
      <c r="L41" s="8">
        <v>4854297.2682248112</v>
      </c>
      <c r="M41" s="8">
        <v>9482731.834896611</v>
      </c>
      <c r="N41" s="8">
        <v>8539708.411249999</v>
      </c>
      <c r="O41" s="8">
        <v>8451597.9383310452</v>
      </c>
      <c r="P41" s="8">
        <v>16991306.349581044</v>
      </c>
      <c r="Q41" s="8">
        <f>VLOOKUP($B41,'Costdrivere gns.'!$A:$H,COLUMN('Costdrivere gns.'!C:C),FALSE)</f>
        <v>353019.05499999999</v>
      </c>
      <c r="R41" s="8">
        <f>VLOOKUP($B41,'Costdrivere gns.'!$A:$H,COLUMN('Costdrivere gns.'!D:D),FALSE)</f>
        <v>1507909.81</v>
      </c>
      <c r="S41" s="8">
        <f>VLOOKUP($B41,'Costdrivere gns.'!$A:$H,COLUMN('Costdrivere gns.'!E:E),FALSE)</f>
        <v>252625.47</v>
      </c>
      <c r="T41" s="8">
        <f>VLOOKUP($B41,'Costdrivere gns.'!$A:$H,COLUMN('Costdrivere gns.'!F:F),FALSE)</f>
        <v>1652190.0149999999</v>
      </c>
      <c r="U41" s="8">
        <f>VLOOKUP($B41,'Costdrivere gns.'!$A:$H,COLUMN('Costdrivere gns.'!G:G),FALSE)</f>
        <v>1088552.915</v>
      </c>
      <c r="V41" s="8">
        <f>VLOOKUP(B41,'Costdrivere gns.'!$A$3:$H$77,COLUMN('Costdrivere gns.'!$H$2))</f>
        <v>1090152.165</v>
      </c>
      <c r="W41" s="8">
        <f>AVERAGE(VLOOKUP(B41,'Costdrivere 2024'!$A$3:$AC$77,COLUMN('Costdrivere 2024'!$AC$2),FALSE),VLOOKUP(B41,'Costdrivere 2025'!$A$3:$AC$77,COLUMN('Costdrivere 2025'!$AC$2),FALSE))</f>
        <v>1645660.1199031118</v>
      </c>
      <c r="X41" s="8">
        <f>AVERAGE(VLOOKUP(B41,'Costdrivere 2024'!$A$3:$AD$77,COLUMN('Costdrivere 2024'!$AD$2),FALSE),VLOOKUP(B41,'Costdrivere 2025'!$A$3:$AD$77,COLUMN('Costdrivere 2025'!$AD$2),FALSE))</f>
        <v>7452921.7149934992</v>
      </c>
      <c r="Y41" s="8">
        <v>353019.05499999999</v>
      </c>
      <c r="Z41" s="8">
        <v>1507909.81</v>
      </c>
      <c r="AA41" s="8">
        <v>252625.47</v>
      </c>
      <c r="AB41" s="8">
        <v>1652190.0149999999</v>
      </c>
      <c r="AC41" s="8">
        <v>1088552.915</v>
      </c>
      <c r="AD41" s="8">
        <v>1090152.165</v>
      </c>
      <c r="AE41" s="8">
        <v>1645660.1199031118</v>
      </c>
      <c r="AF41" s="8">
        <v>7452921.7149934992</v>
      </c>
      <c r="AG41" s="8">
        <f>AVERAGE(VLOOKUP(B41,'Costdrivere 2024'!$A$3:$X$77,COLUMN('Costdrivere 2024'!X:X)),VLOOKUP(B41,'Costdrivere 2025'!$A$3:$X$77,COLUMN('Costdrivere 2025'!X:X)))</f>
        <v>825325.5</v>
      </c>
      <c r="AH41" s="8">
        <f>AVERAGE(VLOOKUP(B41,'Costdrivere 2024'!$A$3:$Y$77,COLUMN('Costdrivere 2024'!Y:Y)),VLOOKUP(B41,'Costdrivere 2025'!$A$3:$Y$77,COLUMN('Costdrivere 2025'!Y:Y)))</f>
        <v>990391.5</v>
      </c>
      <c r="AI41" s="8">
        <v>825325.5</v>
      </c>
      <c r="AJ41" s="8">
        <v>990391.5</v>
      </c>
    </row>
    <row r="42" spans="1:36" x14ac:dyDescent="0.25">
      <c r="A42" s="5" t="s">
        <v>189</v>
      </c>
      <c r="B42" s="5" t="s">
        <v>42</v>
      </c>
      <c r="C42" s="6">
        <f>VLOOKUP($B42,'Netvolumenmål gns.'!$A:$S,COLUMN('Netvolumenmål gns.'!C:C),FALSE)</f>
        <v>28.6588995</v>
      </c>
      <c r="D42" s="7">
        <f>VLOOKUP($B42,'Netvolumenmål gns.'!$A:$S,COLUMN('Netvolumenmål gns.'!D:D),FALSE)</f>
        <v>7.8535941301859674E-2</v>
      </c>
      <c r="E42" s="8">
        <f>VLOOKUP($B42,'Netvolumenmål gns.'!$A:$S,COLUMN('Netvolumenmål gns.'!E:E),FALSE)</f>
        <v>6516808.360723082</v>
      </c>
      <c r="F42" s="8">
        <f>VLOOKUP($B42,'Netvolumenmål gns.'!$A:$S,COLUMN('Netvolumenmål gns.'!F:F),FALSE)</f>
        <v>13099590.80376335</v>
      </c>
      <c r="G42" s="8">
        <f>VLOOKUP($B42,'Netvolumenmål gns.'!$A:$S,COLUMN('Netvolumenmål gns.'!P:P),FALSE)</f>
        <v>11468267.575199999</v>
      </c>
      <c r="H42" s="8">
        <f>VLOOKUP($B42,'Netvolumenmål gns.'!$A:$S,COLUMN('Netvolumenmål gns.'!Q:Q),FALSE)</f>
        <v>18174931.388049595</v>
      </c>
      <c r="I42" s="8">
        <f>VLOOKUP($B42,'Netvolumenmål gns.'!$A:$S,COLUMN('Netvolumenmål gns.'!R:R),FALSE)</f>
        <v>29643198.963249594</v>
      </c>
      <c r="J42" s="6">
        <v>28.6588995</v>
      </c>
      <c r="K42" s="7">
        <v>7.8535941301859674E-2</v>
      </c>
      <c r="L42" s="8">
        <v>6516808.360723082</v>
      </c>
      <c r="M42" s="8">
        <v>13099590.80376335</v>
      </c>
      <c r="N42" s="8">
        <v>11468267.575199999</v>
      </c>
      <c r="O42" s="8">
        <v>18174931.388049595</v>
      </c>
      <c r="P42" s="8">
        <v>29643198.963249594</v>
      </c>
      <c r="Q42" s="8">
        <f>VLOOKUP($B42,'Costdrivere gns.'!$A:$H,COLUMN('Costdrivere gns.'!C:C),FALSE)</f>
        <v>840278.32</v>
      </c>
      <c r="R42" s="8">
        <f>VLOOKUP($B42,'Costdrivere gns.'!$A:$H,COLUMN('Costdrivere gns.'!D:D),FALSE)</f>
        <v>2426399.125</v>
      </c>
      <c r="S42" s="8">
        <f>VLOOKUP($B42,'Costdrivere gns.'!$A:$H,COLUMN('Costdrivere gns.'!E:E),FALSE)</f>
        <v>243301.75</v>
      </c>
      <c r="T42" s="8">
        <f>VLOOKUP($B42,'Costdrivere gns.'!$A:$H,COLUMN('Costdrivere gns.'!F:F),FALSE)</f>
        <v>1867749.425</v>
      </c>
      <c r="U42" s="8">
        <f>VLOOKUP($B42,'Costdrivere gns.'!$A:$H,COLUMN('Costdrivere gns.'!G:G),FALSE)</f>
        <v>1139079.75</v>
      </c>
      <c r="V42" s="8">
        <f>VLOOKUP(B42,'Costdrivere gns.'!$A$3:$H$77,COLUMN('Costdrivere gns.'!$H$2))</f>
        <v>1840200.53</v>
      </c>
      <c r="W42" s="8">
        <f>AVERAGE(VLOOKUP(B42,'Costdrivere 2024'!$A$3:$AC$77,COLUMN('Costdrivere 2024'!$AC$2),FALSE),VLOOKUP(B42,'Costdrivere 2025'!$A$3:$AC$77,COLUMN('Costdrivere 2025'!$AC$2),FALSE))</f>
        <v>2219246.3160111811</v>
      </c>
      <c r="X42" s="8">
        <f>AVERAGE(VLOOKUP(B42,'Costdrivere 2024'!$A$3:$AD$77,COLUMN('Costdrivere 2024'!$AD$2),FALSE),VLOOKUP(B42,'Costdrivere 2025'!$A$3:$AD$77,COLUMN('Costdrivere 2025'!$AD$2),FALSE))</f>
        <v>10310694.194758192</v>
      </c>
      <c r="Y42" s="8">
        <v>840278.32</v>
      </c>
      <c r="Z42" s="8">
        <v>2426399.125</v>
      </c>
      <c r="AA42" s="8">
        <v>243301.75</v>
      </c>
      <c r="AB42" s="8">
        <v>1867749.425</v>
      </c>
      <c r="AC42" s="8">
        <v>1139079.75</v>
      </c>
      <c r="AD42" s="8">
        <v>1840200.53</v>
      </c>
      <c r="AE42" s="8">
        <v>2219246.3160111811</v>
      </c>
      <c r="AF42" s="8">
        <v>10310694.194758192</v>
      </c>
      <c r="AG42" s="8">
        <f>AVERAGE(VLOOKUP(B42,'Costdrivere 2024'!$A$3:$X$77,COLUMN('Costdrivere 2024'!X:X)),VLOOKUP(B42,'Costdrivere 2025'!$A$3:$X$77,COLUMN('Costdrivere 2025'!X:X)))</f>
        <v>1574724</v>
      </c>
      <c r="AH42" s="8">
        <f>AVERAGE(VLOOKUP(B42,'Costdrivere 2024'!$A$3:$Y$77,COLUMN('Costdrivere 2024'!Y:Y)),VLOOKUP(B42,'Costdrivere 2025'!$A$3:$Y$77,COLUMN('Costdrivere 2025'!Y:Y)))</f>
        <v>1734348.5</v>
      </c>
      <c r="AI42" s="8">
        <v>1574724</v>
      </c>
      <c r="AJ42" s="8">
        <v>1734348.5</v>
      </c>
    </row>
    <row r="43" spans="1:36" x14ac:dyDescent="0.25">
      <c r="A43" s="5" t="s">
        <v>190</v>
      </c>
      <c r="B43" s="5" t="s">
        <v>43</v>
      </c>
      <c r="C43" s="6">
        <f>VLOOKUP($B43,'Netvolumenmål gns.'!$A:$S,COLUMN('Netvolumenmål gns.'!C:C),FALSE)</f>
        <v>35.817206499999998</v>
      </c>
      <c r="D43" s="7">
        <f>VLOOKUP($B43,'Netvolumenmål gns.'!$A:$S,COLUMN('Netvolumenmål gns.'!D:D),FALSE)</f>
        <v>1.4667672606027913E-2</v>
      </c>
      <c r="E43" s="8">
        <f>VLOOKUP($B43,'Netvolumenmål gns.'!$A:$S,COLUMN('Netvolumenmål gns.'!E:E),FALSE)</f>
        <v>7923995.4240609957</v>
      </c>
      <c r="F43" s="8">
        <f>VLOOKUP($B43,'Netvolumenmål gns.'!$A:$S,COLUMN('Netvolumenmål gns.'!F:F),FALSE)</f>
        <v>17891575.442459822</v>
      </c>
      <c r="G43" s="8">
        <f>VLOOKUP($B43,'Netvolumenmål gns.'!$A:$S,COLUMN('Netvolumenmål gns.'!P:P),FALSE)</f>
        <v>8348456.2078999998</v>
      </c>
      <c r="H43" s="8">
        <f>VLOOKUP($B43,'Netvolumenmål gns.'!$A:$S,COLUMN('Netvolumenmål gns.'!Q:Q),FALSE)</f>
        <v>16792770.467669085</v>
      </c>
      <c r="I43" s="8">
        <f>VLOOKUP($B43,'Netvolumenmål gns.'!$A:$S,COLUMN('Netvolumenmål gns.'!R:R),FALSE)</f>
        <v>25141226.67556908</v>
      </c>
      <c r="J43" s="6">
        <v>35.817206499999998</v>
      </c>
      <c r="K43" s="7">
        <v>1.4667672606027913E-2</v>
      </c>
      <c r="L43" s="8">
        <v>7923995.4240609957</v>
      </c>
      <c r="M43" s="8">
        <v>17891575.442459822</v>
      </c>
      <c r="N43" s="8">
        <v>8348456.2078999998</v>
      </c>
      <c r="O43" s="8">
        <v>16792770.467669085</v>
      </c>
      <c r="P43" s="8">
        <v>25141226.67556908</v>
      </c>
      <c r="Q43" s="8">
        <f>VLOOKUP($B43,'Costdrivere gns.'!$A:$H,COLUMN('Costdrivere gns.'!C:C),FALSE)</f>
        <v>931970.09</v>
      </c>
      <c r="R43" s="8">
        <f>VLOOKUP($B43,'Costdrivere gns.'!$A:$H,COLUMN('Costdrivere gns.'!D:D),FALSE)</f>
        <v>2691154.1549999998</v>
      </c>
      <c r="S43" s="8">
        <f>VLOOKUP($B43,'Costdrivere gns.'!$A:$H,COLUMN('Costdrivere gns.'!E:E),FALSE)</f>
        <v>553915.94999999995</v>
      </c>
      <c r="T43" s="8">
        <f>VLOOKUP($B43,'Costdrivere gns.'!$A:$H,COLUMN('Costdrivere gns.'!F:F),FALSE)</f>
        <v>2456884.96</v>
      </c>
      <c r="U43" s="8">
        <f>VLOOKUP($B43,'Costdrivere gns.'!$A:$H,COLUMN('Costdrivere gns.'!G:G),FALSE)</f>
        <v>1290070.27</v>
      </c>
      <c r="V43" s="8">
        <f>VLOOKUP(B43,'Costdrivere gns.'!$A$3:$H$77,COLUMN('Costdrivere gns.'!$H$2))</f>
        <v>2127691.5350000001</v>
      </c>
      <c r="W43" s="8">
        <f>AVERAGE(VLOOKUP(B43,'Costdrivere 2024'!$A$3:$AC$77,COLUMN('Costdrivere 2024'!$AC$2),FALSE),VLOOKUP(B43,'Costdrivere 2025'!$A$3:$AC$77,COLUMN('Costdrivere 2025'!$AC$2),FALSE))</f>
        <v>2538484.4199162927</v>
      </c>
      <c r="X43" s="8">
        <f>AVERAGE(VLOOKUP(B43,'Costdrivere 2024'!$A$3:$AD$77,COLUMN('Costdrivere 2024'!$AD$2),FALSE),VLOOKUP(B43,'Costdrivere 2025'!$A$3:$AD$77,COLUMN('Costdrivere 2025'!$AD$2),FALSE))</f>
        <v>15168091.022543531</v>
      </c>
      <c r="Y43" s="8">
        <v>931970.09</v>
      </c>
      <c r="Z43" s="8">
        <v>2691154.1549999998</v>
      </c>
      <c r="AA43" s="8">
        <v>553915.94999999995</v>
      </c>
      <c r="AB43" s="8">
        <v>2456884.96</v>
      </c>
      <c r="AC43" s="8">
        <v>1290070.27</v>
      </c>
      <c r="AD43" s="8">
        <v>2127691.5350000001</v>
      </c>
      <c r="AE43" s="8">
        <v>2538484.4199162927</v>
      </c>
      <c r="AF43" s="8">
        <v>15168091.022543531</v>
      </c>
      <c r="AG43" s="8">
        <f>AVERAGE(VLOOKUP(B43,'Costdrivere 2024'!$A$3:$X$77,COLUMN('Costdrivere 2024'!X:X)),VLOOKUP(B43,'Costdrivere 2025'!$A$3:$X$77,COLUMN('Costdrivere 2025'!X:X)))</f>
        <v>1850999.5</v>
      </c>
      <c r="AH43" s="8">
        <f>AVERAGE(VLOOKUP(B43,'Costdrivere 2024'!$A$3:$Y$77,COLUMN('Costdrivere 2024'!Y:Y)),VLOOKUP(B43,'Costdrivere 2025'!$A$3:$Y$77,COLUMN('Costdrivere 2025'!Y:Y)))</f>
        <v>1948794.5</v>
      </c>
      <c r="AI43" s="8">
        <v>1850999.5</v>
      </c>
      <c r="AJ43" s="8">
        <v>1948794.5</v>
      </c>
    </row>
    <row r="44" spans="1:36" x14ac:dyDescent="0.25">
      <c r="A44" s="5" t="s">
        <v>191</v>
      </c>
      <c r="B44" s="5" t="s">
        <v>44</v>
      </c>
      <c r="C44" s="6">
        <f>VLOOKUP($B44,'Netvolumenmål gns.'!$A:$S,COLUMN('Netvolumenmål gns.'!C:C),FALSE)</f>
        <v>37.759158499999998</v>
      </c>
      <c r="D44" s="7">
        <f>VLOOKUP($B44,'Netvolumenmål gns.'!$A:$S,COLUMN('Netvolumenmål gns.'!D:D),FALSE)</f>
        <v>2.2158668859888268E-2</v>
      </c>
      <c r="E44" s="8">
        <f>VLOOKUP($B44,'Netvolumenmål gns.'!$A:$S,COLUMN('Netvolumenmål gns.'!E:E),FALSE)</f>
        <v>8908202.1185941137</v>
      </c>
      <c r="F44" s="8">
        <f>VLOOKUP($B44,'Netvolumenmål gns.'!$A:$S,COLUMN('Netvolumenmål gns.'!F:F),FALSE)</f>
        <v>22790304.838577498</v>
      </c>
      <c r="G44" s="8">
        <f>VLOOKUP($B44,'Netvolumenmål gns.'!$A:$S,COLUMN('Netvolumenmål gns.'!P:P),FALSE)</f>
        <v>13960411.037349999</v>
      </c>
      <c r="H44" s="8">
        <f>VLOOKUP($B44,'Netvolumenmål gns.'!$A:$S,COLUMN('Netvolumenmål gns.'!Q:Q),FALSE)</f>
        <v>27921706.056636918</v>
      </c>
      <c r="I44" s="8">
        <f>VLOOKUP($B44,'Netvolumenmål gns.'!$A:$S,COLUMN('Netvolumenmål gns.'!R:R),FALSE)</f>
        <v>41882117.093986914</v>
      </c>
      <c r="J44" s="6">
        <v>37.759158499999998</v>
      </c>
      <c r="K44" s="7">
        <v>2.2158668859888268E-2</v>
      </c>
      <c r="L44" s="8">
        <v>8908202.1185941137</v>
      </c>
      <c r="M44" s="8">
        <v>22790304.838577498</v>
      </c>
      <c r="N44" s="8">
        <v>13960411.037349999</v>
      </c>
      <c r="O44" s="8">
        <v>27921706.056636918</v>
      </c>
      <c r="P44" s="8">
        <v>41882117.093986914</v>
      </c>
      <c r="Q44" s="8">
        <f>VLOOKUP($B44,'Costdrivere gns.'!$A:$H,COLUMN('Costdrivere gns.'!C:C),FALSE)</f>
        <v>887595.67500000005</v>
      </c>
      <c r="R44" s="8">
        <f>VLOOKUP($B44,'Costdrivere gns.'!$A:$H,COLUMN('Costdrivere gns.'!D:D),FALSE)</f>
        <v>2537696.46</v>
      </c>
      <c r="S44" s="8">
        <f>VLOOKUP($B44,'Costdrivere gns.'!$A:$H,COLUMN('Costdrivere gns.'!E:E),FALSE)</f>
        <v>269377.19</v>
      </c>
      <c r="T44" s="8">
        <f>VLOOKUP($B44,'Costdrivere gns.'!$A:$H,COLUMN('Costdrivere gns.'!F:F),FALSE)</f>
        <v>3242768.2949999999</v>
      </c>
      <c r="U44" s="8">
        <f>VLOOKUP($B44,'Costdrivere gns.'!$A:$H,COLUMN('Costdrivere gns.'!G:G),FALSE)</f>
        <v>1970764.5049999999</v>
      </c>
      <c r="V44" s="8">
        <f>VLOOKUP(B44,'Costdrivere gns.'!$A$3:$H$77,COLUMN('Costdrivere gns.'!$H$2))</f>
        <v>1982898.2250000001</v>
      </c>
      <c r="W44" s="8">
        <f>AVERAGE(VLOOKUP(B44,'Costdrivere 2024'!$A$3:$AC$77,COLUMN('Costdrivere 2024'!$AC$2),FALSE),VLOOKUP(B44,'Costdrivere 2025'!$A$3:$AC$77,COLUMN('Costdrivere 2025'!$AC$2),FALSE))</f>
        <v>4706484.9847813314</v>
      </c>
      <c r="X44" s="8">
        <f>AVERAGE(VLOOKUP(B44,'Costdrivere 2024'!$A$3:$AD$77,COLUMN('Costdrivere 2024'!$AD$2),FALSE),VLOOKUP(B44,'Costdrivere 2025'!$A$3:$AD$77,COLUMN('Costdrivere 2025'!$AD$2),FALSE))</f>
        <v>17396652.121094998</v>
      </c>
      <c r="Y44" s="8">
        <v>887595.67500000005</v>
      </c>
      <c r="Z44" s="8">
        <v>2537696.46</v>
      </c>
      <c r="AA44" s="8">
        <v>269377.19</v>
      </c>
      <c r="AB44" s="8">
        <v>3242768.2949999999</v>
      </c>
      <c r="AC44" s="8">
        <v>1970764.5049999999</v>
      </c>
      <c r="AD44" s="8">
        <v>1982898.2250000001</v>
      </c>
      <c r="AE44" s="8">
        <v>4706484.9847813314</v>
      </c>
      <c r="AF44" s="8">
        <v>17396652.121094998</v>
      </c>
      <c r="AG44" s="8">
        <f>AVERAGE(VLOOKUP(B44,'Costdrivere 2024'!$A$3:$X$77,COLUMN('Costdrivere 2024'!X:X)),VLOOKUP(B44,'Costdrivere 2025'!$A$3:$X$77,COLUMN('Costdrivere 2025'!X:X)))</f>
        <v>1711281.5</v>
      </c>
      <c r="AH44" s="8">
        <f>AVERAGE(VLOOKUP(B44,'Costdrivere 2024'!$A$3:$Y$77,COLUMN('Costdrivere 2024'!Y:Y)),VLOOKUP(B44,'Costdrivere 2025'!$A$3:$Y$77,COLUMN('Costdrivere 2025'!Y:Y)))</f>
        <v>1824497</v>
      </c>
      <c r="AI44" s="8">
        <v>1711281.5</v>
      </c>
      <c r="AJ44" s="8">
        <v>1824497</v>
      </c>
    </row>
    <row r="45" spans="1:36" x14ac:dyDescent="0.25">
      <c r="A45" s="5" t="s">
        <v>192</v>
      </c>
      <c r="B45" s="5" t="s">
        <v>45</v>
      </c>
      <c r="C45" s="6">
        <f>VLOOKUP($B45,'Netvolumenmål gns.'!$A:$S,COLUMN('Netvolumenmål gns.'!C:C),FALSE)</f>
        <v>34.723747500000002</v>
      </c>
      <c r="D45" s="7">
        <f>VLOOKUP($B45,'Netvolumenmål gns.'!$A:$S,COLUMN('Netvolumenmål gns.'!D:D),FALSE)</f>
        <v>0.12139347742574658</v>
      </c>
      <c r="E45" s="8">
        <f>VLOOKUP($B45,'Netvolumenmål gns.'!$A:$S,COLUMN('Netvolumenmål gns.'!E:E),FALSE)</f>
        <v>10655835.248694327</v>
      </c>
      <c r="F45" s="8">
        <f>VLOOKUP($B45,'Netvolumenmål gns.'!$A:$S,COLUMN('Netvolumenmål gns.'!F:F),FALSE)</f>
        <v>14591198.725221315</v>
      </c>
      <c r="G45" s="8">
        <f>VLOOKUP($B45,'Netvolumenmål gns.'!$A:$S,COLUMN('Netvolumenmål gns.'!P:P),FALSE)</f>
        <v>17894514.711649999</v>
      </c>
      <c r="H45" s="8">
        <f>VLOOKUP($B45,'Netvolumenmål gns.'!$A:$S,COLUMN('Netvolumenmål gns.'!Q:Q),FALSE)</f>
        <v>27107162.147645295</v>
      </c>
      <c r="I45" s="8">
        <f>VLOOKUP($B45,'Netvolumenmål gns.'!$A:$S,COLUMN('Netvolumenmål gns.'!R:R),FALSE)</f>
        <v>45001676.859295294</v>
      </c>
      <c r="J45" s="6">
        <v>34.723747500000002</v>
      </c>
      <c r="K45" s="7">
        <v>0.12139347742574658</v>
      </c>
      <c r="L45" s="8">
        <v>10655835.248694327</v>
      </c>
      <c r="M45" s="8">
        <v>14591198.725221315</v>
      </c>
      <c r="N45" s="8">
        <v>17894514.711649999</v>
      </c>
      <c r="O45" s="8">
        <v>27107162.147645295</v>
      </c>
      <c r="P45" s="8">
        <v>45001676.859295294</v>
      </c>
      <c r="Q45" s="8">
        <f>VLOOKUP($B45,'Costdrivere gns.'!$A:$H,COLUMN('Costdrivere gns.'!C:C),FALSE)</f>
        <v>811110.99</v>
      </c>
      <c r="R45" s="8">
        <f>VLOOKUP($B45,'Costdrivere gns.'!$A:$H,COLUMN('Costdrivere gns.'!D:D),FALSE)</f>
        <v>3489266.04</v>
      </c>
      <c r="S45" s="8">
        <f>VLOOKUP($B45,'Costdrivere gns.'!$A:$H,COLUMN('Costdrivere gns.'!E:E),FALSE)</f>
        <v>166239.75</v>
      </c>
      <c r="T45" s="8">
        <f>VLOOKUP($B45,'Costdrivere gns.'!$A:$H,COLUMN('Costdrivere gns.'!F:F),FALSE)</f>
        <v>4713250.08</v>
      </c>
      <c r="U45" s="8">
        <f>VLOOKUP($B45,'Costdrivere gns.'!$A:$H,COLUMN('Costdrivere gns.'!G:G),FALSE)</f>
        <v>1475968.395</v>
      </c>
      <c r="V45" s="8">
        <f>VLOOKUP(B45,'Costdrivere gns.'!$A$3:$H$77,COLUMN('Costdrivere gns.'!$H$2))</f>
        <v>2955470.41</v>
      </c>
      <c r="W45" s="8">
        <f>AVERAGE(VLOOKUP(B45,'Costdrivere 2024'!$A$3:$AC$77,COLUMN('Costdrivere 2024'!$AC$2),FALSE),VLOOKUP(B45,'Costdrivere 2025'!$A$3:$AC$77,COLUMN('Costdrivere 2025'!$AC$2),FALSE))</f>
        <v>2769991.1633788995</v>
      </c>
      <c r="X45" s="8">
        <f>AVERAGE(VLOOKUP(B45,'Costdrivere 2024'!$A$3:$AD$77,COLUMN('Costdrivere 2024'!$AD$2),FALSE),VLOOKUP(B45,'Costdrivere 2025'!$A$3:$AD$77,COLUMN('Costdrivere 2025'!$AD$2),FALSE))</f>
        <v>10882067.061842415</v>
      </c>
      <c r="Y45" s="8">
        <v>811110.99</v>
      </c>
      <c r="Z45" s="8">
        <v>3489266.04</v>
      </c>
      <c r="AA45" s="8">
        <v>166239.75</v>
      </c>
      <c r="AB45" s="8">
        <v>4713250.08</v>
      </c>
      <c r="AC45" s="8">
        <v>1475968.395</v>
      </c>
      <c r="AD45" s="8">
        <v>2955470.41</v>
      </c>
      <c r="AE45" s="8">
        <v>2769991.1633788995</v>
      </c>
      <c r="AF45" s="8">
        <v>10882067.061842415</v>
      </c>
      <c r="AG45" s="8">
        <f>AVERAGE(VLOOKUP(B45,'Costdrivere 2024'!$A$3:$X$77,COLUMN('Costdrivere 2024'!X:X)),VLOOKUP(B45,'Costdrivere 2025'!$A$3:$X$77,COLUMN('Costdrivere 2025'!X:X)))</f>
        <v>2668917.5</v>
      </c>
      <c r="AH45" s="8">
        <f>AVERAGE(VLOOKUP(B45,'Costdrivere 2024'!$A$3:$Y$77,COLUMN('Costdrivere 2024'!Y:Y)),VLOOKUP(B45,'Costdrivere 2025'!$A$3:$Y$77,COLUMN('Costdrivere 2025'!Y:Y)))</f>
        <v>1676219.5</v>
      </c>
      <c r="AI45" s="8">
        <v>2668917.5</v>
      </c>
      <c r="AJ45" s="8">
        <v>1676219.5</v>
      </c>
    </row>
    <row r="46" spans="1:36" x14ac:dyDescent="0.25">
      <c r="A46" s="5" t="s">
        <v>193</v>
      </c>
      <c r="B46" s="5" t="s">
        <v>46</v>
      </c>
      <c r="C46" s="6">
        <f>VLOOKUP($B46,'Netvolumenmål gns.'!$A:$S,COLUMN('Netvolumenmål gns.'!C:C),FALSE)</f>
        <v>35.291238500000006</v>
      </c>
      <c r="D46" s="7">
        <f>VLOOKUP($B46,'Netvolumenmål gns.'!$A:$S,COLUMN('Netvolumenmål gns.'!D:D),FALSE)</f>
        <v>2.9777166342699626E-2</v>
      </c>
      <c r="E46" s="8">
        <f>VLOOKUP($B46,'Netvolumenmål gns.'!$A:$S,COLUMN('Netvolumenmål gns.'!E:E),FALSE)</f>
        <v>5505952.2217503209</v>
      </c>
      <c r="F46" s="8">
        <f>VLOOKUP($B46,'Netvolumenmål gns.'!$A:$S,COLUMN('Netvolumenmål gns.'!F:F),FALSE)</f>
        <v>10202198.00829399</v>
      </c>
      <c r="G46" s="8">
        <f>VLOOKUP($B46,'Netvolumenmål gns.'!$A:$S,COLUMN('Netvolumenmål gns.'!P:P),FALSE)</f>
        <v>6476774.5656500002</v>
      </c>
      <c r="H46" s="8">
        <f>VLOOKUP($B46,'Netvolumenmål gns.'!$A:$S,COLUMN('Netvolumenmål gns.'!Q:Q),FALSE)</f>
        <v>9051194.8247944843</v>
      </c>
      <c r="I46" s="8">
        <f>VLOOKUP($B46,'Netvolumenmål gns.'!$A:$S,COLUMN('Netvolumenmål gns.'!R:R),FALSE)</f>
        <v>15527969.390444484</v>
      </c>
      <c r="J46" s="6">
        <v>35.291238500000006</v>
      </c>
      <c r="K46" s="7">
        <v>2.9777166342699626E-2</v>
      </c>
      <c r="L46" s="8">
        <v>5505952.2217503209</v>
      </c>
      <c r="M46" s="8">
        <v>10202198.00829399</v>
      </c>
      <c r="N46" s="8">
        <v>6476774.5656500002</v>
      </c>
      <c r="O46" s="8">
        <v>9051194.8247944843</v>
      </c>
      <c r="P46" s="8">
        <v>15527969.390444484</v>
      </c>
      <c r="Q46" s="8">
        <f>VLOOKUP($B46,'Costdrivere gns.'!$A:$H,COLUMN('Costdrivere gns.'!C:C),FALSE)</f>
        <v>726896.16500000004</v>
      </c>
      <c r="R46" s="8">
        <f>VLOOKUP($B46,'Costdrivere gns.'!$A:$H,COLUMN('Costdrivere gns.'!D:D),FALSE)</f>
        <v>2125132.645</v>
      </c>
      <c r="S46" s="8">
        <f>VLOOKUP($B46,'Costdrivere gns.'!$A:$H,COLUMN('Costdrivere gns.'!E:E),FALSE)</f>
        <v>239945.15</v>
      </c>
      <c r="T46" s="8">
        <f>VLOOKUP($B46,'Costdrivere gns.'!$A:$H,COLUMN('Costdrivere gns.'!F:F),FALSE)</f>
        <v>1568115.2749999999</v>
      </c>
      <c r="U46" s="8">
        <f>VLOOKUP($B46,'Costdrivere gns.'!$A:$H,COLUMN('Costdrivere gns.'!G:G),FALSE)</f>
        <v>845862.98499999999</v>
      </c>
      <c r="V46" s="8">
        <f>VLOOKUP(B46,'Costdrivere gns.'!$A$3:$H$77,COLUMN('Costdrivere gns.'!$H$2))</f>
        <v>1709599.38</v>
      </c>
      <c r="W46" s="8">
        <f>AVERAGE(VLOOKUP(B46,'Costdrivere 2024'!$A$3:$AC$77,COLUMN('Costdrivere 2024'!$AC$2),FALSE),VLOOKUP(B46,'Costdrivere 2025'!$A$3:$AC$77,COLUMN('Costdrivere 2025'!$AC$2),FALSE))</f>
        <v>2918647.9228619882</v>
      </c>
      <c r="X46" s="8">
        <f>AVERAGE(VLOOKUP(B46,'Costdrivere 2024'!$A$3:$AD$77,COLUMN('Costdrivere 2024'!$AD$2),FALSE),VLOOKUP(B46,'Costdrivere 2025'!$A$3:$AD$77,COLUMN('Costdrivere 2025'!$AD$2),FALSE))</f>
        <v>7088050.0854320005</v>
      </c>
      <c r="Y46" s="8">
        <v>726896.16500000004</v>
      </c>
      <c r="Z46" s="8">
        <v>2125132.645</v>
      </c>
      <c r="AA46" s="8">
        <v>239945.15</v>
      </c>
      <c r="AB46" s="8">
        <v>1568115.2749999999</v>
      </c>
      <c r="AC46" s="8">
        <v>845862.98499999999</v>
      </c>
      <c r="AD46" s="8">
        <v>1709599.38</v>
      </c>
      <c r="AE46" s="8">
        <v>2918647.9228619882</v>
      </c>
      <c r="AF46" s="8">
        <v>7088050.0854320005</v>
      </c>
      <c r="AG46" s="8">
        <f>AVERAGE(VLOOKUP(B46,'Costdrivere 2024'!$A$3:$X$77,COLUMN('Costdrivere 2024'!X:X)),VLOOKUP(B46,'Costdrivere 2025'!$A$3:$X$77,COLUMN('Costdrivere 2025'!X:X)))</f>
        <v>1466259.5</v>
      </c>
      <c r="AH46" s="8">
        <f>AVERAGE(VLOOKUP(B46,'Costdrivere 2024'!$A$3:$Y$77,COLUMN('Costdrivere 2024'!Y:Y)),VLOOKUP(B46,'Costdrivere 2025'!$A$3:$Y$77,COLUMN('Costdrivere 2025'!Y:Y)))</f>
        <v>1490329</v>
      </c>
      <c r="AI46" s="8">
        <v>1466259.5</v>
      </c>
      <c r="AJ46" s="8">
        <v>1490329</v>
      </c>
    </row>
    <row r="47" spans="1:36" x14ac:dyDescent="0.25">
      <c r="A47" s="5" t="s">
        <v>140</v>
      </c>
      <c r="B47" s="5" t="s">
        <v>47</v>
      </c>
      <c r="C47" s="6">
        <f>VLOOKUP($B47,'Netvolumenmål gns.'!$A:$S,COLUMN('Netvolumenmål gns.'!C:C),FALSE)</f>
        <v>36.132165499999999</v>
      </c>
      <c r="D47" s="7">
        <f>VLOOKUP($B47,'Netvolumenmål gns.'!$A:$S,COLUMN('Netvolumenmål gns.'!D:D),FALSE)</f>
        <v>1.8903934564676733E-2</v>
      </c>
      <c r="E47" s="8">
        <f>VLOOKUP($B47,'Netvolumenmål gns.'!$A:$S,COLUMN('Netvolumenmål gns.'!E:E),FALSE)</f>
        <v>6364877.0384326857</v>
      </c>
      <c r="F47" s="8">
        <f>VLOOKUP($B47,'Netvolumenmål gns.'!$A:$S,COLUMN('Netvolumenmål gns.'!F:F),FALSE)</f>
        <v>13488847.480196003</v>
      </c>
      <c r="G47" s="8">
        <f>VLOOKUP($B47,'Netvolumenmål gns.'!$A:$S,COLUMN('Netvolumenmål gns.'!P:P),FALSE)</f>
        <v>10361240.7125</v>
      </c>
      <c r="H47" s="8">
        <f>VLOOKUP($B47,'Netvolumenmål gns.'!$A:$S,COLUMN('Netvolumenmål gns.'!Q:Q),FALSE)</f>
        <v>13656244.283062205</v>
      </c>
      <c r="I47" s="8">
        <f>VLOOKUP($B47,'Netvolumenmål gns.'!$A:$S,COLUMN('Netvolumenmål gns.'!R:R),FALSE)</f>
        <v>24017484.995562203</v>
      </c>
      <c r="J47" s="6">
        <v>36.132165499999999</v>
      </c>
      <c r="K47" s="7">
        <v>1.8903934564676733E-2</v>
      </c>
      <c r="L47" s="8">
        <v>6364877.0384326857</v>
      </c>
      <c r="M47" s="8">
        <v>13488847.480196003</v>
      </c>
      <c r="N47" s="8">
        <v>10361240.7125</v>
      </c>
      <c r="O47" s="8">
        <v>13656244.283062205</v>
      </c>
      <c r="P47" s="8">
        <v>24017484.995562203</v>
      </c>
      <c r="Q47" s="8">
        <f>VLOOKUP($B47,'Costdrivere gns.'!$A:$H,COLUMN('Costdrivere gns.'!C:C),FALSE)</f>
        <v>834147.10499999998</v>
      </c>
      <c r="R47" s="8">
        <f>VLOOKUP($B47,'Costdrivere gns.'!$A:$H,COLUMN('Costdrivere gns.'!D:D),FALSE)</f>
        <v>2438340.79</v>
      </c>
      <c r="S47" s="8">
        <f>VLOOKUP($B47,'Costdrivere gns.'!$A:$H,COLUMN('Costdrivere gns.'!E:E),FALSE)</f>
        <v>253508.55</v>
      </c>
      <c r="T47" s="8">
        <f>VLOOKUP($B47,'Costdrivere gns.'!$A:$H,COLUMN('Costdrivere gns.'!F:F),FALSE)</f>
        <v>1744840.845</v>
      </c>
      <c r="U47" s="8">
        <f>VLOOKUP($B47,'Costdrivere gns.'!$A:$H,COLUMN('Costdrivere gns.'!G:G),FALSE)</f>
        <v>1094039.7450000001</v>
      </c>
      <c r="V47" s="8">
        <f>VLOOKUP(B47,'Costdrivere gns.'!$A$3:$H$77,COLUMN('Costdrivere gns.'!$H$2))</f>
        <v>1971171.36</v>
      </c>
      <c r="W47" s="8">
        <f>AVERAGE(VLOOKUP(B47,'Costdrivere 2024'!$A$3:$AC$77,COLUMN('Costdrivere 2024'!$AC$2),FALSE),VLOOKUP(B47,'Costdrivere 2025'!$A$3:$AC$77,COLUMN('Costdrivere 2025'!$AC$2),FALSE))</f>
        <v>2584729.2163793352</v>
      </c>
      <c r="X47" s="8">
        <f>AVERAGE(VLOOKUP(B47,'Costdrivere 2024'!$A$3:$AD$77,COLUMN('Costdrivere 2024'!$AD$2),FALSE),VLOOKUP(B47,'Costdrivere 2025'!$A$3:$AD$77,COLUMN('Costdrivere 2025'!$AD$2),FALSE))</f>
        <v>10099424.26381667</v>
      </c>
      <c r="Y47" s="8">
        <v>834147.10499999998</v>
      </c>
      <c r="Z47" s="8">
        <v>2438340.79</v>
      </c>
      <c r="AA47" s="8">
        <v>253508.55</v>
      </c>
      <c r="AB47" s="8">
        <v>1744840.845</v>
      </c>
      <c r="AC47" s="8">
        <v>1094039.7450000001</v>
      </c>
      <c r="AD47" s="8">
        <v>1971171.36</v>
      </c>
      <c r="AE47" s="8">
        <v>2584729.2163793352</v>
      </c>
      <c r="AF47" s="8">
        <v>10099424.26381667</v>
      </c>
      <c r="AG47" s="8">
        <f>AVERAGE(VLOOKUP(B47,'Costdrivere 2024'!$A$3:$X$77,COLUMN('Costdrivere 2024'!X:X)),VLOOKUP(B47,'Costdrivere 2025'!$A$3:$X$77,COLUMN('Costdrivere 2025'!X:X)))</f>
        <v>1700032</v>
      </c>
      <c r="AH47" s="8">
        <f>AVERAGE(VLOOKUP(B47,'Costdrivere 2024'!$A$3:$Y$77,COLUMN('Costdrivere 2024'!Y:Y)),VLOOKUP(B47,'Costdrivere 2025'!$A$3:$Y$77,COLUMN('Costdrivere 2025'!Y:Y)))</f>
        <v>1744021</v>
      </c>
      <c r="AI47" s="8">
        <v>1700032</v>
      </c>
      <c r="AJ47" s="8">
        <v>1744021</v>
      </c>
    </row>
    <row r="48" spans="1:36" x14ac:dyDescent="0.25">
      <c r="A48" s="5" t="s">
        <v>194</v>
      </c>
      <c r="B48" s="5" t="s">
        <v>48</v>
      </c>
      <c r="C48" s="6">
        <f>VLOOKUP($B48,'Netvolumenmål gns.'!$A:$S,COLUMN('Netvolumenmål gns.'!C:C),FALSE)</f>
        <v>40.914815000000004</v>
      </c>
      <c r="D48" s="7">
        <f>VLOOKUP($B48,'Netvolumenmål gns.'!$A:$S,COLUMN('Netvolumenmål gns.'!D:D),FALSE)</f>
        <v>4.6264917605342848E-2</v>
      </c>
      <c r="E48" s="8">
        <f>VLOOKUP($B48,'Netvolumenmål gns.'!$A:$S,COLUMN('Netvolumenmål gns.'!E:E),FALSE)</f>
        <v>5119823.2647837456</v>
      </c>
      <c r="F48" s="8">
        <f>VLOOKUP($B48,'Netvolumenmål gns.'!$A:$S,COLUMN('Netvolumenmål gns.'!F:F),FALSE)</f>
        <v>6843124.3156052763</v>
      </c>
      <c r="G48" s="8">
        <f>VLOOKUP($B48,'Netvolumenmål gns.'!$A:$S,COLUMN('Netvolumenmål gns.'!P:P),FALSE)</f>
        <v>8511840.5484500006</v>
      </c>
      <c r="H48" s="8">
        <f>VLOOKUP($B48,'Netvolumenmål gns.'!$A:$S,COLUMN('Netvolumenmål gns.'!Q:Q),FALSE)</f>
        <v>8303862.1591841662</v>
      </c>
      <c r="I48" s="8">
        <f>VLOOKUP($B48,'Netvolumenmål gns.'!$A:$S,COLUMN('Netvolumenmål gns.'!R:R),FALSE)</f>
        <v>16815702.707634166</v>
      </c>
      <c r="J48" s="6">
        <v>40.914815000000004</v>
      </c>
      <c r="K48" s="7">
        <v>4.6264917605342848E-2</v>
      </c>
      <c r="L48" s="8">
        <v>5119823.2647837456</v>
      </c>
      <c r="M48" s="8">
        <v>6843124.3156052763</v>
      </c>
      <c r="N48" s="8">
        <v>8511840.5484500006</v>
      </c>
      <c r="O48" s="8">
        <v>8303862.1591841662</v>
      </c>
      <c r="P48" s="8">
        <v>16815702.707634166</v>
      </c>
      <c r="Q48" s="8">
        <f>VLOOKUP($B48,'Costdrivere gns.'!$A:$H,COLUMN('Costdrivere gns.'!C:C),FALSE)</f>
        <v>635628.89500000002</v>
      </c>
      <c r="R48" s="8">
        <f>VLOOKUP($B48,'Costdrivere gns.'!$A:$H,COLUMN('Costdrivere gns.'!D:D),FALSE)</f>
        <v>1879875.655</v>
      </c>
      <c r="S48" s="8">
        <f>VLOOKUP($B48,'Costdrivere gns.'!$A:$H,COLUMN('Costdrivere gns.'!E:E),FALSE)</f>
        <v>147753.35</v>
      </c>
      <c r="T48" s="8">
        <f>VLOOKUP($B48,'Costdrivere gns.'!$A:$H,COLUMN('Costdrivere gns.'!F:F),FALSE)</f>
        <v>1298383.21</v>
      </c>
      <c r="U48" s="8">
        <f>VLOOKUP($B48,'Costdrivere gns.'!$A:$H,COLUMN('Costdrivere gns.'!G:G),FALSE)</f>
        <v>1158182.1599999999</v>
      </c>
      <c r="V48" s="8">
        <f>VLOOKUP(B48,'Costdrivere gns.'!$A$3:$H$77,COLUMN('Costdrivere gns.'!$H$2))</f>
        <v>1465353.0249999999</v>
      </c>
      <c r="W48" s="8">
        <f>AVERAGE(VLOOKUP(B48,'Costdrivere 2024'!$A$3:$AC$77,COLUMN('Costdrivere 2024'!$AC$2),FALSE),VLOOKUP(B48,'Costdrivere 2025'!$A$3:$AC$77,COLUMN('Costdrivere 2025'!$AC$2),FALSE))</f>
        <v>1893331.4569552778</v>
      </c>
      <c r="X48" s="8">
        <f>AVERAGE(VLOOKUP(B48,'Costdrivere 2024'!$A$3:$AD$77,COLUMN('Costdrivere 2024'!$AD$2),FALSE),VLOOKUP(B48,'Costdrivere 2025'!$A$3:$AD$77,COLUMN('Costdrivere 2025'!$AD$2),FALSE))</f>
        <v>4949792.8586499989</v>
      </c>
      <c r="Y48" s="8">
        <v>635628.89500000002</v>
      </c>
      <c r="Z48" s="8">
        <v>1879875.655</v>
      </c>
      <c r="AA48" s="8">
        <v>147753.35</v>
      </c>
      <c r="AB48" s="8">
        <v>1298383.21</v>
      </c>
      <c r="AC48" s="8">
        <v>1158182.1599999999</v>
      </c>
      <c r="AD48" s="8">
        <v>1465353.0249999999</v>
      </c>
      <c r="AE48" s="8">
        <v>1893331.4569552778</v>
      </c>
      <c r="AF48" s="8">
        <v>4949792.8586499989</v>
      </c>
      <c r="AG48" s="8">
        <f>AVERAGE(VLOOKUP(B48,'Costdrivere 2024'!$A$3:$X$77,COLUMN('Costdrivere 2024'!X:X)),VLOOKUP(B48,'Costdrivere 2025'!$A$3:$X$77,COLUMN('Costdrivere 2025'!X:X)))</f>
        <v>1221925</v>
      </c>
      <c r="AH48" s="8">
        <f>AVERAGE(VLOOKUP(B48,'Costdrivere 2024'!$A$3:$Y$77,COLUMN('Costdrivere 2024'!Y:Y)),VLOOKUP(B48,'Costdrivere 2025'!$A$3:$Y$77,COLUMN('Costdrivere 2025'!Y:Y)))</f>
        <v>1291676</v>
      </c>
      <c r="AI48" s="8">
        <v>1221925</v>
      </c>
      <c r="AJ48" s="8">
        <v>1291676</v>
      </c>
    </row>
    <row r="49" spans="1:36" x14ac:dyDescent="0.25">
      <c r="A49" s="5" t="s">
        <v>195</v>
      </c>
      <c r="B49" s="5" t="s">
        <v>49</v>
      </c>
      <c r="C49" s="6">
        <f>VLOOKUP($B49,'Netvolumenmål gns.'!$A:$S,COLUMN('Netvolumenmål gns.'!C:C),FALSE)</f>
        <v>38.887119999999996</v>
      </c>
      <c r="D49" s="7">
        <f>VLOOKUP($B49,'Netvolumenmål gns.'!$A:$S,COLUMN('Netvolumenmål gns.'!D:D),FALSE)</f>
        <v>4.7259467615446318E-2</v>
      </c>
      <c r="E49" s="8">
        <f>VLOOKUP($B49,'Netvolumenmål gns.'!$A:$S,COLUMN('Netvolumenmål gns.'!E:E),FALSE)</f>
        <v>11568909.74230136</v>
      </c>
      <c r="F49" s="8">
        <f>VLOOKUP($B49,'Netvolumenmål gns.'!$A:$S,COLUMN('Netvolumenmål gns.'!F:F),FALSE)</f>
        <v>28890317.791530937</v>
      </c>
      <c r="G49" s="8">
        <f>VLOOKUP($B49,'Netvolumenmål gns.'!$A:$S,COLUMN('Netvolumenmål gns.'!P:P),FALSE)</f>
        <v>17197332.632550001</v>
      </c>
      <c r="H49" s="8">
        <f>VLOOKUP($B49,'Netvolumenmål gns.'!$A:$S,COLUMN('Netvolumenmål gns.'!Q:Q),FALSE)</f>
        <v>22737305.336919628</v>
      </c>
      <c r="I49" s="8">
        <f>VLOOKUP($B49,'Netvolumenmål gns.'!$A:$S,COLUMN('Netvolumenmål gns.'!R:R),FALSE)</f>
        <v>39934637.969469629</v>
      </c>
      <c r="J49" s="6">
        <v>38.887119999999996</v>
      </c>
      <c r="K49" s="7">
        <v>4.7259467615446318E-2</v>
      </c>
      <c r="L49" s="8">
        <v>11568909.74230136</v>
      </c>
      <c r="M49" s="8">
        <v>28890317.791530937</v>
      </c>
      <c r="N49" s="8">
        <v>17197332.632550001</v>
      </c>
      <c r="O49" s="8">
        <v>22737305.336919628</v>
      </c>
      <c r="P49" s="8">
        <v>39934637.969469629</v>
      </c>
      <c r="Q49" s="8">
        <f>VLOOKUP($B49,'Costdrivere gns.'!$A:$H,COLUMN('Costdrivere gns.'!C:C),FALSE)</f>
        <v>1129471.5549999999</v>
      </c>
      <c r="R49" s="8">
        <f>VLOOKUP($B49,'Costdrivere gns.'!$A:$H,COLUMN('Costdrivere gns.'!D:D),FALSE)</f>
        <v>3287122.7349999999</v>
      </c>
      <c r="S49" s="8">
        <f>VLOOKUP($B49,'Costdrivere gns.'!$A:$H,COLUMN('Costdrivere gns.'!E:E),FALSE)</f>
        <v>374724.43</v>
      </c>
      <c r="T49" s="8">
        <f>VLOOKUP($B49,'Costdrivere gns.'!$A:$H,COLUMN('Costdrivere gns.'!F:F),FALSE)</f>
        <v>4854315.4550000001</v>
      </c>
      <c r="U49" s="8">
        <f>VLOOKUP($B49,'Costdrivere gns.'!$A:$H,COLUMN('Costdrivere gns.'!G:G),FALSE)</f>
        <v>1923275.5649999999</v>
      </c>
      <c r="V49" s="8">
        <f>VLOOKUP(B49,'Costdrivere gns.'!$A$3:$H$77,COLUMN('Costdrivere gns.'!$H$2))</f>
        <v>2380157.9</v>
      </c>
      <c r="W49" s="8">
        <f>AVERAGE(VLOOKUP(B49,'Costdrivere 2024'!$A$3:$AC$77,COLUMN('Costdrivere 2024'!$AC$2),FALSE),VLOOKUP(B49,'Costdrivere 2025'!$A$3:$AC$77,COLUMN('Costdrivere 2025'!$AC$2),FALSE))</f>
        <v>6656669.226416477</v>
      </c>
      <c r="X49" s="8">
        <f>AVERAGE(VLOOKUP(B49,'Costdrivere 2024'!$A$3:$AD$77,COLUMN('Costdrivere 2024'!$AD$2),FALSE),VLOOKUP(B49,'Costdrivere 2025'!$A$3:$AD$77,COLUMN('Costdrivere 2025'!$AD$2),FALSE))</f>
        <v>20922986.565114461</v>
      </c>
      <c r="Y49" s="8">
        <v>1129471.5549999999</v>
      </c>
      <c r="Z49" s="8">
        <v>3287122.7349999999</v>
      </c>
      <c r="AA49" s="8">
        <v>374724.43</v>
      </c>
      <c r="AB49" s="8">
        <v>4854315.4550000001</v>
      </c>
      <c r="AC49" s="8">
        <v>1923275.5649999999</v>
      </c>
      <c r="AD49" s="8">
        <v>2380157.9</v>
      </c>
      <c r="AE49" s="8">
        <v>6656669.226416477</v>
      </c>
      <c r="AF49" s="8">
        <v>20922986.565114461</v>
      </c>
      <c r="AG49" s="8">
        <f>AVERAGE(VLOOKUP(B49,'Costdrivere 2024'!$A$3:$X$77,COLUMN('Costdrivere 2024'!X:X)),VLOOKUP(B49,'Costdrivere 2025'!$A$3:$X$77,COLUMN('Costdrivere 2025'!X:X)))</f>
        <v>2097178</v>
      </c>
      <c r="AH49" s="8">
        <f>AVERAGE(VLOOKUP(B49,'Costdrivere 2024'!$A$3:$Y$77,COLUMN('Costdrivere 2024'!Y:Y)),VLOOKUP(B49,'Costdrivere 2025'!$A$3:$Y$77,COLUMN('Costdrivere 2025'!Y:Y)))</f>
        <v>2431516.5</v>
      </c>
      <c r="AI49" s="8">
        <v>2097178</v>
      </c>
      <c r="AJ49" s="8">
        <v>2431516.5</v>
      </c>
    </row>
    <row r="50" spans="1:36" x14ac:dyDescent="0.25">
      <c r="A50" s="5" t="s">
        <v>141</v>
      </c>
      <c r="B50" s="5" t="s">
        <v>50</v>
      </c>
      <c r="C50" s="6">
        <f>VLOOKUP($B50,'Netvolumenmål gns.'!$A:$S,COLUMN('Netvolumenmål gns.'!C:C),FALSE)</f>
        <v>37.077601000000001</v>
      </c>
      <c r="D50" s="7">
        <f>VLOOKUP($B50,'Netvolumenmål gns.'!$A:$S,COLUMN('Netvolumenmål gns.'!D:D),FALSE)</f>
        <v>3.3627573130962339E-2</v>
      </c>
      <c r="E50" s="8">
        <f>VLOOKUP($B50,'Netvolumenmål gns.'!$A:$S,COLUMN('Netvolumenmål gns.'!E:E),FALSE)</f>
        <v>4427507.1380215017</v>
      </c>
      <c r="F50" s="8">
        <f>VLOOKUP($B50,'Netvolumenmål gns.'!$A:$S,COLUMN('Netvolumenmål gns.'!F:F),FALSE)</f>
        <v>8631936.3967339844</v>
      </c>
      <c r="G50" s="8">
        <f>VLOOKUP($B50,'Netvolumenmål gns.'!$A:$S,COLUMN('Netvolumenmål gns.'!P:P),FALSE)</f>
        <v>8573725.815299999</v>
      </c>
      <c r="H50" s="8">
        <f>VLOOKUP($B50,'Netvolumenmål gns.'!$A:$S,COLUMN('Netvolumenmål gns.'!Q:Q),FALSE)</f>
        <v>8790946.9920319989</v>
      </c>
      <c r="I50" s="8">
        <f>VLOOKUP($B50,'Netvolumenmål gns.'!$A:$S,COLUMN('Netvolumenmål gns.'!R:R),FALSE)</f>
        <v>17364672.807331998</v>
      </c>
      <c r="J50" s="6">
        <v>37.077601000000001</v>
      </c>
      <c r="K50" s="7">
        <v>3.3627573130962339E-2</v>
      </c>
      <c r="L50" s="8">
        <v>4427507.1380215017</v>
      </c>
      <c r="M50" s="8">
        <v>8631936.3967339844</v>
      </c>
      <c r="N50" s="8">
        <v>8573725.815299999</v>
      </c>
      <c r="O50" s="8">
        <v>8790946.9920319989</v>
      </c>
      <c r="P50" s="8">
        <v>17364672.807331998</v>
      </c>
      <c r="Q50" s="8">
        <f>VLOOKUP($B50,'Costdrivere gns.'!$A:$H,COLUMN('Costdrivere gns.'!C:C),FALSE)</f>
        <v>477629.79</v>
      </c>
      <c r="R50" s="8">
        <f>VLOOKUP($B50,'Costdrivere gns.'!$A:$H,COLUMN('Costdrivere gns.'!D:D),FALSE)</f>
        <v>1564093.02</v>
      </c>
      <c r="S50" s="8">
        <f>VLOOKUP($B50,'Costdrivere gns.'!$A:$H,COLUMN('Costdrivere gns.'!E:E),FALSE)</f>
        <v>241678.55</v>
      </c>
      <c r="T50" s="8">
        <f>VLOOKUP($B50,'Costdrivere gns.'!$A:$H,COLUMN('Costdrivere gns.'!F:F),FALSE)</f>
        <v>1238673.56</v>
      </c>
      <c r="U50" s="8">
        <f>VLOOKUP($B50,'Costdrivere gns.'!$A:$H,COLUMN('Costdrivere gns.'!G:G),FALSE)</f>
        <v>905432.21499999997</v>
      </c>
      <c r="V50" s="8">
        <f>VLOOKUP(B50,'Costdrivere gns.'!$A$3:$H$77,COLUMN('Costdrivere gns.'!$H$2))</f>
        <v>1113524.6299999999</v>
      </c>
      <c r="W50" s="8">
        <f>AVERAGE(VLOOKUP(B50,'Costdrivere 2024'!$A$3:$AC$77,COLUMN('Costdrivere 2024'!$AC$2),FALSE),VLOOKUP(B50,'Costdrivere 2025'!$A$3:$AC$77,COLUMN('Costdrivere 2025'!$AC$2),FALSE))</f>
        <v>2305011.2060607783</v>
      </c>
      <c r="X50" s="8">
        <f>AVERAGE(VLOOKUP(B50,'Costdrivere 2024'!$A$3:$AD$77,COLUMN('Costdrivere 2024'!$AD$2),FALSE),VLOOKUP(B50,'Costdrivere 2025'!$A$3:$AD$77,COLUMN('Costdrivere 2025'!$AD$2),FALSE))</f>
        <v>6069925.190673206</v>
      </c>
      <c r="Y50" s="8">
        <v>477629.79</v>
      </c>
      <c r="Z50" s="8">
        <v>1564093.02</v>
      </c>
      <c r="AA50" s="8">
        <v>241678.55</v>
      </c>
      <c r="AB50" s="8">
        <v>1238673.56</v>
      </c>
      <c r="AC50" s="8">
        <v>905432.21499999997</v>
      </c>
      <c r="AD50" s="8">
        <v>1113524.6299999999</v>
      </c>
      <c r="AE50" s="8">
        <v>2305011.2060607783</v>
      </c>
      <c r="AF50" s="8">
        <v>6069925.190673206</v>
      </c>
      <c r="AG50" s="8">
        <f>AVERAGE(VLOOKUP(B50,'Costdrivere 2024'!$A$3:$X$77,COLUMN('Costdrivere 2024'!X:X)),VLOOKUP(B50,'Costdrivere 2025'!$A$3:$X$77,COLUMN('Costdrivere 2025'!X:X)))</f>
        <v>900036.5</v>
      </c>
      <c r="AH50" s="8">
        <f>AVERAGE(VLOOKUP(B50,'Costdrivere 2024'!$A$3:$Y$77,COLUMN('Costdrivere 2024'!Y:Y)),VLOOKUP(B50,'Costdrivere 2025'!$A$3:$Y$77,COLUMN('Costdrivere 2025'!Y:Y)))</f>
        <v>946386.5</v>
      </c>
      <c r="AI50" s="8">
        <v>900036.5</v>
      </c>
      <c r="AJ50" s="8">
        <v>946386.5</v>
      </c>
    </row>
    <row r="51" spans="1:36" x14ac:dyDescent="0.25">
      <c r="A51" s="5" t="s">
        <v>142</v>
      </c>
      <c r="B51" s="5" t="s">
        <v>51</v>
      </c>
      <c r="C51" s="6">
        <f>VLOOKUP($B51,'Netvolumenmål gns.'!$A:$S,COLUMN('Netvolumenmål gns.'!C:C),FALSE)</f>
        <v>35.097197999999999</v>
      </c>
      <c r="D51" s="7">
        <f>VLOOKUP($B51,'Netvolumenmål gns.'!$A:$S,COLUMN('Netvolumenmål gns.'!D:D),FALSE)</f>
        <v>2.0444545939963501E-2</v>
      </c>
      <c r="E51" s="8">
        <f>VLOOKUP($B51,'Netvolumenmål gns.'!$A:$S,COLUMN('Netvolumenmål gns.'!E:E),FALSE)</f>
        <v>13976477.765248163</v>
      </c>
      <c r="F51" s="8">
        <f>VLOOKUP($B51,'Netvolumenmål gns.'!$A:$S,COLUMN('Netvolumenmål gns.'!F:F),FALSE)</f>
        <v>37609943.290071748</v>
      </c>
      <c r="G51" s="8">
        <f>VLOOKUP($B51,'Netvolumenmål gns.'!$A:$S,COLUMN('Netvolumenmål gns.'!P:P),FALSE)</f>
        <v>13917170.934</v>
      </c>
      <c r="H51" s="8">
        <f>VLOOKUP($B51,'Netvolumenmål gns.'!$A:$S,COLUMN('Netvolumenmål gns.'!Q:Q),FALSE)</f>
        <v>42400922.831456751</v>
      </c>
      <c r="I51" s="8">
        <f>VLOOKUP($B51,'Netvolumenmål gns.'!$A:$S,COLUMN('Netvolumenmål gns.'!R:R),FALSE)</f>
        <v>56318093.765456751</v>
      </c>
      <c r="J51" s="6">
        <v>35.097197999999999</v>
      </c>
      <c r="K51" s="7">
        <v>2.0444545939963501E-2</v>
      </c>
      <c r="L51" s="8">
        <v>13976477.765248163</v>
      </c>
      <c r="M51" s="8">
        <v>37609943.290071748</v>
      </c>
      <c r="N51" s="8">
        <v>13917170.934</v>
      </c>
      <c r="O51" s="8">
        <v>42400922.831456751</v>
      </c>
      <c r="P51" s="8">
        <v>56318093.765456751</v>
      </c>
      <c r="Q51" s="8">
        <f>VLOOKUP($B51,'Costdrivere gns.'!$A:$H,COLUMN('Costdrivere gns.'!C:C),FALSE)</f>
        <v>1634548.7350000001</v>
      </c>
      <c r="R51" s="8">
        <f>VLOOKUP($B51,'Costdrivere gns.'!$A:$H,COLUMN('Costdrivere gns.'!D:D),FALSE)</f>
        <v>4307923.3499999996</v>
      </c>
      <c r="S51" s="8">
        <f>VLOOKUP($B51,'Costdrivere gns.'!$A:$H,COLUMN('Costdrivere gns.'!E:E),FALSE)</f>
        <v>536583.23</v>
      </c>
      <c r="T51" s="8">
        <f>VLOOKUP($B51,'Costdrivere gns.'!$A:$H,COLUMN('Costdrivere gns.'!F:F),FALSE)</f>
        <v>4708128.05</v>
      </c>
      <c r="U51" s="8">
        <f>VLOOKUP($B51,'Costdrivere gns.'!$A:$H,COLUMN('Costdrivere gns.'!G:G),FALSE)</f>
        <v>2789294.4049999998</v>
      </c>
      <c r="V51" s="8">
        <f>VLOOKUP(B51,'Costdrivere gns.'!$A$3:$H$77,COLUMN('Costdrivere gns.'!$H$2))</f>
        <v>3627978.8849999998</v>
      </c>
      <c r="W51" s="8">
        <f>AVERAGE(VLOOKUP(B51,'Costdrivere 2024'!$A$3:$AC$77,COLUMN('Costdrivere 2024'!$AC$2),FALSE),VLOOKUP(B51,'Costdrivere 2025'!$A$3:$AC$77,COLUMN('Costdrivere 2025'!$AC$2),FALSE))</f>
        <v>8230324.3383217556</v>
      </c>
      <c r="X51" s="8">
        <f>AVERAGE(VLOOKUP(B51,'Costdrivere 2024'!$A$3:$AD$77,COLUMN('Costdrivere 2024'!$AD$2),FALSE),VLOOKUP(B51,'Costdrivere 2025'!$A$3:$AD$77,COLUMN('Costdrivere 2025'!$AD$2),FALSE))</f>
        <v>29016618.951749995</v>
      </c>
      <c r="Y51" s="8">
        <v>1634548.7350000001</v>
      </c>
      <c r="Z51" s="8">
        <v>4307923.3499999996</v>
      </c>
      <c r="AA51" s="8">
        <v>536583.23</v>
      </c>
      <c r="AB51" s="8">
        <v>4708128.05</v>
      </c>
      <c r="AC51" s="8">
        <v>2789294.4049999998</v>
      </c>
      <c r="AD51" s="8">
        <v>3627978.8849999998</v>
      </c>
      <c r="AE51" s="8">
        <v>8230324.3383217556</v>
      </c>
      <c r="AF51" s="8">
        <v>29016618.951749995</v>
      </c>
      <c r="AG51" s="8">
        <f>AVERAGE(VLOOKUP(B51,'Costdrivere 2024'!$A$3:$X$77,COLUMN('Costdrivere 2024'!X:X)),VLOOKUP(B51,'Costdrivere 2025'!$A$3:$X$77,COLUMN('Costdrivere 2025'!X:X)))</f>
        <v>3193773.5</v>
      </c>
      <c r="AH51" s="8">
        <f>AVERAGE(VLOOKUP(B51,'Costdrivere 2024'!$A$3:$Y$77,COLUMN('Costdrivere 2024'!Y:Y)),VLOOKUP(B51,'Costdrivere 2025'!$A$3:$Y$77,COLUMN('Costdrivere 2025'!Y:Y)))</f>
        <v>3258343.5</v>
      </c>
      <c r="AI51" s="8">
        <v>3193773.5</v>
      </c>
      <c r="AJ51" s="8">
        <v>3258343.5</v>
      </c>
    </row>
    <row r="52" spans="1:36" x14ac:dyDescent="0.25">
      <c r="A52" s="5" t="s">
        <v>143</v>
      </c>
      <c r="B52" s="5" t="s">
        <v>52</v>
      </c>
      <c r="C52" s="6">
        <f>VLOOKUP($B52,'Netvolumenmål gns.'!$A:$S,COLUMN('Netvolumenmål gns.'!C:C),FALSE)</f>
        <v>37.924196999999999</v>
      </c>
      <c r="D52" s="7">
        <f>VLOOKUP($B52,'Netvolumenmål gns.'!$A:$S,COLUMN('Netvolumenmål gns.'!D:D),FALSE)</f>
        <v>3.6221038477273107E-2</v>
      </c>
      <c r="E52" s="8">
        <f>VLOOKUP($B52,'Netvolumenmål gns.'!$A:$S,COLUMN('Netvolumenmål gns.'!E:E),FALSE)</f>
        <v>7167489.1502000783</v>
      </c>
      <c r="F52" s="8">
        <f>VLOOKUP($B52,'Netvolumenmål gns.'!$A:$S,COLUMN('Netvolumenmål gns.'!F:F),FALSE)</f>
        <v>12935910.920027357</v>
      </c>
      <c r="G52" s="8">
        <f>VLOOKUP($B52,'Netvolumenmål gns.'!$A:$S,COLUMN('Netvolumenmål gns.'!P:P),FALSE)</f>
        <v>7859933.1504999995</v>
      </c>
      <c r="H52" s="8">
        <f>VLOOKUP($B52,'Netvolumenmål gns.'!$A:$S,COLUMN('Netvolumenmål gns.'!Q:Q),FALSE)</f>
        <v>13711076.959139302</v>
      </c>
      <c r="I52" s="8">
        <f>VLOOKUP($B52,'Netvolumenmål gns.'!$A:$S,COLUMN('Netvolumenmål gns.'!R:R),FALSE)</f>
        <v>21571010.109639302</v>
      </c>
      <c r="J52" s="6">
        <v>37.924196999999999</v>
      </c>
      <c r="K52" s="7">
        <v>3.6221038477273107E-2</v>
      </c>
      <c r="L52" s="8">
        <v>7167489.1502000783</v>
      </c>
      <c r="M52" s="8">
        <v>12935910.920027357</v>
      </c>
      <c r="N52" s="8">
        <v>7859933.1504999995</v>
      </c>
      <c r="O52" s="8">
        <v>13711076.959139302</v>
      </c>
      <c r="P52" s="8">
        <v>21571010.109639302</v>
      </c>
      <c r="Q52" s="8">
        <f>VLOOKUP($B52,'Costdrivere gns.'!$A:$H,COLUMN('Costdrivere gns.'!C:C),FALSE)</f>
        <v>809230.73</v>
      </c>
      <c r="R52" s="8">
        <f>VLOOKUP($B52,'Costdrivere gns.'!$A:$H,COLUMN('Costdrivere gns.'!D:D),FALSE)</f>
        <v>2320939.59</v>
      </c>
      <c r="S52" s="8">
        <f>VLOOKUP($B52,'Costdrivere gns.'!$A:$H,COLUMN('Costdrivere gns.'!E:E),FALSE)</f>
        <v>173724.55</v>
      </c>
      <c r="T52" s="8">
        <f>VLOOKUP($B52,'Costdrivere gns.'!$A:$H,COLUMN('Costdrivere gns.'!F:F),FALSE)</f>
        <v>2715800.74</v>
      </c>
      <c r="U52" s="8">
        <f>VLOOKUP($B52,'Costdrivere gns.'!$A:$H,COLUMN('Costdrivere gns.'!G:G),FALSE)</f>
        <v>1147793.54</v>
      </c>
      <c r="V52" s="8">
        <f>VLOOKUP(B52,'Costdrivere gns.'!$A$3:$H$77,COLUMN('Costdrivere gns.'!$H$2))</f>
        <v>1777613.12</v>
      </c>
      <c r="W52" s="8">
        <f>AVERAGE(VLOOKUP(B52,'Costdrivere 2024'!$A$3:$AC$77,COLUMN('Costdrivere 2024'!$AC$2),FALSE),VLOOKUP(B52,'Costdrivere 2025'!$A$3:$AC$77,COLUMN('Costdrivere 2025'!$AC$2),FALSE))</f>
        <v>2776588.687117273</v>
      </c>
      <c r="X52" s="8">
        <f>AVERAGE(VLOOKUP(B52,'Costdrivere 2024'!$A$3:$AD$77,COLUMN('Costdrivere 2024'!$AD$2),FALSE),VLOOKUP(B52,'Costdrivere 2025'!$A$3:$AD$77,COLUMN('Costdrivere 2025'!$AD$2),FALSE))</f>
        <v>9518991.2329100817</v>
      </c>
      <c r="Y52" s="8">
        <v>809230.73</v>
      </c>
      <c r="Z52" s="8">
        <v>2320939.59</v>
      </c>
      <c r="AA52" s="8">
        <v>173724.55</v>
      </c>
      <c r="AB52" s="8">
        <v>2715800.74</v>
      </c>
      <c r="AC52" s="8">
        <v>1147793.54</v>
      </c>
      <c r="AD52" s="8">
        <v>1777613.12</v>
      </c>
      <c r="AE52" s="8">
        <v>2776588.687117273</v>
      </c>
      <c r="AF52" s="8">
        <v>9518991.2329100817</v>
      </c>
      <c r="AG52" s="8">
        <f>AVERAGE(VLOOKUP(B52,'Costdrivere 2024'!$A$3:$X$77,COLUMN('Costdrivere 2024'!X:X)),VLOOKUP(B52,'Costdrivere 2025'!$A$3:$X$77,COLUMN('Costdrivere 2025'!X:X)))</f>
        <v>1518430</v>
      </c>
      <c r="AH52" s="8">
        <f>AVERAGE(VLOOKUP(B52,'Costdrivere 2024'!$A$3:$Y$77,COLUMN('Costdrivere 2024'!Y:Y)),VLOOKUP(B52,'Costdrivere 2025'!$A$3:$Y$77,COLUMN('Costdrivere 2025'!Y:Y)))</f>
        <v>1648928.5</v>
      </c>
      <c r="AI52" s="8">
        <v>1518430</v>
      </c>
      <c r="AJ52" s="8">
        <v>1648928.5</v>
      </c>
    </row>
    <row r="53" spans="1:36" x14ac:dyDescent="0.25">
      <c r="A53" s="5" t="s">
        <v>144</v>
      </c>
      <c r="B53" s="5" t="s">
        <v>54</v>
      </c>
      <c r="C53" s="6">
        <f>VLOOKUP($B53,'Netvolumenmål gns.'!$A:$S,COLUMN('Netvolumenmål gns.'!C:C),FALSE)</f>
        <v>36.204386</v>
      </c>
      <c r="D53" s="7">
        <f>VLOOKUP($B53,'Netvolumenmål gns.'!$A:$S,COLUMN('Netvolumenmål gns.'!D:D),FALSE)</f>
        <v>9.3574886463269363E-2</v>
      </c>
      <c r="E53" s="8">
        <f>VLOOKUP($B53,'Netvolumenmål gns.'!$A:$S,COLUMN('Netvolumenmål gns.'!E:E),FALSE)</f>
        <v>5836806.5251658577</v>
      </c>
      <c r="F53" s="8">
        <f>VLOOKUP($B53,'Netvolumenmål gns.'!$A:$S,COLUMN('Netvolumenmål gns.'!F:F),FALSE)</f>
        <v>10129149.814146958</v>
      </c>
      <c r="G53" s="8">
        <f>VLOOKUP($B53,'Netvolumenmål gns.'!$A:$S,COLUMN('Netvolumenmål gns.'!P:P),FALSE)</f>
        <v>11091282.880350001</v>
      </c>
      <c r="H53" s="8">
        <f>VLOOKUP($B53,'Netvolumenmål gns.'!$A:$S,COLUMN('Netvolumenmål gns.'!Q:Q),FALSE)</f>
        <v>16857631.909087069</v>
      </c>
      <c r="I53" s="8">
        <f>VLOOKUP($B53,'Netvolumenmål gns.'!$A:$S,COLUMN('Netvolumenmål gns.'!R:R),FALSE)</f>
        <v>27948914.78943707</v>
      </c>
      <c r="J53" s="6">
        <v>36.204386</v>
      </c>
      <c r="K53" s="7">
        <v>9.3574886463269363E-2</v>
      </c>
      <c r="L53" s="8">
        <v>5836806.5251658577</v>
      </c>
      <c r="M53" s="8">
        <v>10129149.814146958</v>
      </c>
      <c r="N53" s="8">
        <v>11091282.880350001</v>
      </c>
      <c r="O53" s="8">
        <v>16857631.909087069</v>
      </c>
      <c r="P53" s="8">
        <v>27948914.78943707</v>
      </c>
      <c r="Q53" s="8">
        <f>VLOOKUP($B53,'Costdrivere gns.'!$A:$H,COLUMN('Costdrivere gns.'!C:C),FALSE)</f>
        <v>786660.14500000002</v>
      </c>
      <c r="R53" s="8">
        <f>VLOOKUP($B53,'Costdrivere gns.'!$A:$H,COLUMN('Costdrivere gns.'!D:D),FALSE)</f>
        <v>2306672.5499999998</v>
      </c>
      <c r="S53" s="8">
        <f>VLOOKUP($B53,'Costdrivere gns.'!$A:$H,COLUMN('Costdrivere gns.'!E:E),FALSE)</f>
        <v>87447.75</v>
      </c>
      <c r="T53" s="8">
        <f>VLOOKUP($B53,'Costdrivere gns.'!$A:$H,COLUMN('Costdrivere gns.'!F:F),FALSE)</f>
        <v>1445156.7350000001</v>
      </c>
      <c r="U53" s="8">
        <f>VLOOKUP($B53,'Costdrivere gns.'!$A:$H,COLUMN('Costdrivere gns.'!G:G),FALSE)</f>
        <v>1210869.3500000001</v>
      </c>
      <c r="V53" s="8">
        <f>VLOOKUP(B53,'Costdrivere gns.'!$A$3:$H$77,COLUMN('Costdrivere gns.'!$H$2))</f>
        <v>1789849.7749999999</v>
      </c>
      <c r="W53" s="8">
        <f>AVERAGE(VLOOKUP(B53,'Costdrivere 2024'!$A$3:$AC$77,COLUMN('Costdrivere 2024'!$AC$2),FALSE),VLOOKUP(B53,'Costdrivere 2025'!$A$3:$AC$77,COLUMN('Costdrivere 2025'!$AC$2),FALSE))</f>
        <v>1882908.1948870549</v>
      </c>
      <c r="X53" s="8">
        <f>AVERAGE(VLOOKUP(B53,'Costdrivere 2024'!$A$3:$AD$77,COLUMN('Costdrivere 2024'!$AD$2),FALSE),VLOOKUP(B53,'Costdrivere 2025'!$A$3:$AD$77,COLUMN('Costdrivere 2025'!$AD$2),FALSE))</f>
        <v>7409915.3718599034</v>
      </c>
      <c r="Y53" s="8">
        <v>786660.14500000002</v>
      </c>
      <c r="Z53" s="8">
        <v>2306672.5499999998</v>
      </c>
      <c r="AA53" s="8">
        <v>87447.75</v>
      </c>
      <c r="AB53" s="8">
        <v>1445156.7350000001</v>
      </c>
      <c r="AC53" s="8">
        <v>1210869.3500000001</v>
      </c>
      <c r="AD53" s="8">
        <v>1789849.7749999999</v>
      </c>
      <c r="AE53" s="8">
        <v>1882908.1948870549</v>
      </c>
      <c r="AF53" s="8">
        <v>7409915.3718599034</v>
      </c>
      <c r="AG53" s="8">
        <f>AVERAGE(VLOOKUP(B53,'Costdrivere 2024'!$A$3:$X$77,COLUMN('Costdrivere 2024'!X:X)),VLOOKUP(B53,'Costdrivere 2025'!$A$3:$X$77,COLUMN('Costdrivere 2025'!X:X)))</f>
        <v>1526813.5</v>
      </c>
      <c r="AH53" s="8">
        <f>AVERAGE(VLOOKUP(B53,'Costdrivere 2024'!$A$3:$Y$77,COLUMN('Costdrivere 2024'!Y:Y)),VLOOKUP(B53,'Costdrivere 2025'!$A$3:$Y$77,COLUMN('Costdrivere 2025'!Y:Y)))</f>
        <v>1637372.5</v>
      </c>
      <c r="AI53" s="8">
        <v>1526813.5</v>
      </c>
      <c r="AJ53" s="8">
        <v>1637372.5</v>
      </c>
    </row>
    <row r="54" spans="1:36" x14ac:dyDescent="0.25">
      <c r="A54" s="5" t="s">
        <v>196</v>
      </c>
      <c r="B54" s="5" t="s">
        <v>55</v>
      </c>
      <c r="C54" s="6">
        <f>VLOOKUP($B54,'Netvolumenmål gns.'!$A:$S,COLUMN('Netvolumenmål gns.'!C:C),FALSE)</f>
        <v>41.5711795</v>
      </c>
      <c r="D54" s="7">
        <f>VLOOKUP($B54,'Netvolumenmål gns.'!$A:$S,COLUMN('Netvolumenmål gns.'!D:D),FALSE)</f>
        <v>4.9867620018225839E-2</v>
      </c>
      <c r="E54" s="8">
        <f>VLOOKUP($B54,'Netvolumenmål gns.'!$A:$S,COLUMN('Netvolumenmål gns.'!E:E),FALSE)</f>
        <v>4719946.3676145263</v>
      </c>
      <c r="F54" s="8">
        <f>VLOOKUP($B54,'Netvolumenmål gns.'!$A:$S,COLUMN('Netvolumenmål gns.'!F:F),FALSE)</f>
        <v>7252040.5283471337</v>
      </c>
      <c r="G54" s="8">
        <f>VLOOKUP($B54,'Netvolumenmål gns.'!$A:$S,COLUMN('Netvolumenmål gns.'!P:P),FALSE)</f>
        <v>8780478.1020999998</v>
      </c>
      <c r="H54" s="8">
        <f>VLOOKUP($B54,'Netvolumenmål gns.'!$A:$S,COLUMN('Netvolumenmål gns.'!Q:Q),FALSE)</f>
        <v>7043411.028047693</v>
      </c>
      <c r="I54" s="8">
        <f>VLOOKUP($B54,'Netvolumenmål gns.'!$A:$S,COLUMN('Netvolumenmål gns.'!R:R),FALSE)</f>
        <v>15823889.130147692</v>
      </c>
      <c r="J54" s="6">
        <v>41.5711795</v>
      </c>
      <c r="K54" s="7">
        <v>4.9867620018225839E-2</v>
      </c>
      <c r="L54" s="8">
        <v>4719946.3676145263</v>
      </c>
      <c r="M54" s="8">
        <v>7252040.5283471337</v>
      </c>
      <c r="N54" s="8">
        <v>8780478.1020999998</v>
      </c>
      <c r="O54" s="8">
        <v>7043411.028047693</v>
      </c>
      <c r="P54" s="8">
        <v>15823889.130147692</v>
      </c>
      <c r="Q54" s="8">
        <f>VLOOKUP($B54,'Costdrivere gns.'!$A:$H,COLUMN('Costdrivere gns.'!C:C),FALSE)</f>
        <v>502355.875</v>
      </c>
      <c r="R54" s="8">
        <f>VLOOKUP($B54,'Costdrivere gns.'!$A:$H,COLUMN('Costdrivere gns.'!D:D),FALSE)</f>
        <v>2092460.35</v>
      </c>
      <c r="S54" s="8">
        <f>VLOOKUP($B54,'Costdrivere gns.'!$A:$H,COLUMN('Costdrivere gns.'!E:E),FALSE)</f>
        <v>117600.55</v>
      </c>
      <c r="T54" s="8">
        <f>VLOOKUP($B54,'Costdrivere gns.'!$A:$H,COLUMN('Costdrivere gns.'!F:F),FALSE)</f>
        <v>1090425.9750000001</v>
      </c>
      <c r="U54" s="8">
        <f>VLOOKUP($B54,'Costdrivere gns.'!$A:$H,COLUMN('Costdrivere gns.'!G:G),FALSE)</f>
        <v>917103.61499999999</v>
      </c>
      <c r="V54" s="8">
        <f>VLOOKUP(B54,'Costdrivere gns.'!$A$3:$H$77,COLUMN('Costdrivere gns.'!$H$2))</f>
        <v>1061449.23</v>
      </c>
      <c r="W54" s="8">
        <f>AVERAGE(VLOOKUP(B54,'Costdrivere 2024'!$A$3:$AC$77,COLUMN('Costdrivere 2024'!$AC$2),FALSE),VLOOKUP(B54,'Costdrivere 2025'!$A$3:$AC$77,COLUMN('Costdrivere 2025'!$AC$2),FALSE))</f>
        <v>2232773.4927154668</v>
      </c>
      <c r="X54" s="8">
        <f>AVERAGE(VLOOKUP(B54,'Costdrivere 2024'!$A$3:$AD$77,COLUMN('Costdrivere 2024'!$AD$2),FALSE),VLOOKUP(B54,'Costdrivere 2025'!$A$3:$AD$77,COLUMN('Costdrivere 2025'!$AD$2),FALSE))</f>
        <v>4807767.0356316669</v>
      </c>
      <c r="Y54" s="8">
        <v>502355.875</v>
      </c>
      <c r="Z54" s="8">
        <v>2092460.35</v>
      </c>
      <c r="AA54" s="8">
        <v>117600.55</v>
      </c>
      <c r="AB54" s="8">
        <v>1090425.9750000001</v>
      </c>
      <c r="AC54" s="8">
        <v>917103.61499999999</v>
      </c>
      <c r="AD54" s="8">
        <v>1061449.23</v>
      </c>
      <c r="AE54" s="8">
        <v>2232773.4927154668</v>
      </c>
      <c r="AF54" s="8">
        <v>4807767.0356316669</v>
      </c>
      <c r="AG54" s="8">
        <f>AVERAGE(VLOOKUP(B54,'Costdrivere 2024'!$A$3:$X$77,COLUMN('Costdrivere 2024'!X:X)),VLOOKUP(B54,'Costdrivere 2025'!$A$3:$X$77,COLUMN('Costdrivere 2025'!X:X)))</f>
        <v>853287.5</v>
      </c>
      <c r="AH54" s="8">
        <f>AVERAGE(VLOOKUP(B54,'Costdrivere 2024'!$A$3:$Y$77,COLUMN('Costdrivere 2024'!Y:Y)),VLOOKUP(B54,'Costdrivere 2025'!$A$3:$Y$77,COLUMN('Costdrivere 2025'!Y:Y)))</f>
        <v>945481.5</v>
      </c>
      <c r="AI54" s="8">
        <v>853287.5</v>
      </c>
      <c r="AJ54" s="8">
        <v>945481.5</v>
      </c>
    </row>
    <row r="55" spans="1:36" x14ac:dyDescent="0.25">
      <c r="A55" s="5" t="s">
        <v>197</v>
      </c>
      <c r="B55" s="5" t="s">
        <v>56</v>
      </c>
      <c r="C55" s="6">
        <f>VLOOKUP($B55,'Netvolumenmål gns.'!$A:$S,COLUMN('Netvolumenmål gns.'!C:C),FALSE)</f>
        <v>32.559024000000001</v>
      </c>
      <c r="D55" s="7">
        <f>VLOOKUP($B55,'Netvolumenmål gns.'!$A:$S,COLUMN('Netvolumenmål gns.'!D:D),FALSE)</f>
        <v>5.8839016958457196E-2</v>
      </c>
      <c r="E55" s="8">
        <f>VLOOKUP($B55,'Netvolumenmål gns.'!$A:$S,COLUMN('Netvolumenmål gns.'!E:E),FALSE)</f>
        <v>13086896.546659708</v>
      </c>
      <c r="F55" s="8">
        <f>VLOOKUP($B55,'Netvolumenmål gns.'!$A:$S,COLUMN('Netvolumenmål gns.'!F:F),FALSE)</f>
        <v>24628291.841110133</v>
      </c>
      <c r="G55" s="8">
        <f>VLOOKUP($B55,'Netvolumenmål gns.'!$A:$S,COLUMN('Netvolumenmål gns.'!P:P),FALSE)</f>
        <v>19496834.276950002</v>
      </c>
      <c r="H55" s="8">
        <f>VLOOKUP($B55,'Netvolumenmål gns.'!$A:$S,COLUMN('Netvolumenmål gns.'!Q:Q),FALSE)</f>
        <v>23121262.050127819</v>
      </c>
      <c r="I55" s="8">
        <f>VLOOKUP($B55,'Netvolumenmål gns.'!$A:$S,COLUMN('Netvolumenmål gns.'!R:R),FALSE)</f>
        <v>42618096.327077821</v>
      </c>
      <c r="J55" s="6">
        <v>32.559024000000001</v>
      </c>
      <c r="K55" s="7">
        <v>5.8839016958457196E-2</v>
      </c>
      <c r="L55" s="8">
        <v>13086896.546659708</v>
      </c>
      <c r="M55" s="8">
        <v>24628291.841110133</v>
      </c>
      <c r="N55" s="8">
        <v>19496834.276950002</v>
      </c>
      <c r="O55" s="8">
        <v>23121262.050127819</v>
      </c>
      <c r="P55" s="8">
        <v>42618096.327077821</v>
      </c>
      <c r="Q55" s="8">
        <f>VLOOKUP($B55,'Costdrivere gns.'!$A:$H,COLUMN('Costdrivere gns.'!C:C),FALSE)</f>
        <v>1329673.885</v>
      </c>
      <c r="R55" s="8">
        <f>VLOOKUP($B55,'Costdrivere gns.'!$A:$H,COLUMN('Costdrivere gns.'!D:D),FALSE)</f>
        <v>4401904.46</v>
      </c>
      <c r="S55" s="8">
        <f>VLOOKUP($B55,'Costdrivere gns.'!$A:$H,COLUMN('Costdrivere gns.'!E:E),FALSE)</f>
        <v>427737.47</v>
      </c>
      <c r="T55" s="8">
        <f>VLOOKUP($B55,'Costdrivere gns.'!$A:$H,COLUMN('Costdrivere gns.'!F:F),FALSE)</f>
        <v>4363293.335</v>
      </c>
      <c r="U55" s="8">
        <f>VLOOKUP($B55,'Costdrivere gns.'!$A:$H,COLUMN('Costdrivere gns.'!G:G),FALSE)</f>
        <v>2564287.4</v>
      </c>
      <c r="V55" s="8">
        <f>VLOOKUP(B55,'Costdrivere gns.'!$A$3:$H$77,COLUMN('Costdrivere gns.'!$H$2))</f>
        <v>3087384.9750000001</v>
      </c>
      <c r="W55" s="8">
        <f>AVERAGE(VLOOKUP(B55,'Costdrivere 2024'!$A$3:$AC$77,COLUMN('Costdrivere 2024'!$AC$2),FALSE),VLOOKUP(B55,'Costdrivere 2025'!$A$3:$AC$77,COLUMN('Costdrivere 2025'!$AC$2),FALSE))</f>
        <v>3120076.5693007177</v>
      </c>
      <c r="X55" s="8">
        <f>AVERAGE(VLOOKUP(B55,'Costdrivere 2024'!$A$3:$AD$77,COLUMN('Costdrivere 2024'!$AD$2),FALSE),VLOOKUP(B55,'Costdrivere 2025'!$A$3:$AD$77,COLUMN('Costdrivere 2025'!$AD$2),FALSE))</f>
        <v>17847215.271809414</v>
      </c>
      <c r="Y55" s="8">
        <v>1329673.885</v>
      </c>
      <c r="Z55" s="8">
        <v>4401904.46</v>
      </c>
      <c r="AA55" s="8">
        <v>427737.47</v>
      </c>
      <c r="AB55" s="8">
        <v>4363293.335</v>
      </c>
      <c r="AC55" s="8">
        <v>2564287.4</v>
      </c>
      <c r="AD55" s="8">
        <v>3087384.9750000001</v>
      </c>
      <c r="AE55" s="8">
        <v>3120076.5693007177</v>
      </c>
      <c r="AF55" s="8">
        <v>17847215.271809414</v>
      </c>
      <c r="AG55" s="8">
        <f>AVERAGE(VLOOKUP(B55,'Costdrivere 2024'!$A$3:$X$77,COLUMN('Costdrivere 2024'!X:X)),VLOOKUP(B55,'Costdrivere 2025'!$A$3:$X$77,COLUMN('Costdrivere 2025'!X:X)))</f>
        <v>2808574.29</v>
      </c>
      <c r="AH55" s="8">
        <f>AVERAGE(VLOOKUP(B55,'Costdrivere 2024'!$A$3:$Y$77,COLUMN('Costdrivere 2024'!Y:Y)),VLOOKUP(B55,'Costdrivere 2025'!$A$3:$Y$77,COLUMN('Costdrivere 2025'!Y:Y)))</f>
        <v>2880445</v>
      </c>
      <c r="AI55" s="8">
        <v>2808574.29</v>
      </c>
      <c r="AJ55" s="8">
        <v>2880445</v>
      </c>
    </row>
    <row r="56" spans="1:36" x14ac:dyDescent="0.25">
      <c r="A56" s="5" t="s">
        <v>145</v>
      </c>
      <c r="B56" s="5" t="s">
        <v>57</v>
      </c>
      <c r="C56" s="6">
        <f>VLOOKUP($B56,'Netvolumenmål gns.'!$A:$S,COLUMN('Netvolumenmål gns.'!C:C),FALSE)</f>
        <v>42.891193000000001</v>
      </c>
      <c r="D56" s="7">
        <f>VLOOKUP($B56,'Netvolumenmål gns.'!$A:$S,COLUMN('Netvolumenmål gns.'!D:D),FALSE)</f>
        <v>0</v>
      </c>
      <c r="E56" s="8">
        <f>VLOOKUP($B56,'Netvolumenmål gns.'!$A:$S,COLUMN('Netvolumenmål gns.'!E:E),FALSE)</f>
        <v>17340025.827607073</v>
      </c>
      <c r="F56" s="8">
        <f>VLOOKUP($B56,'Netvolumenmål gns.'!$A:$S,COLUMN('Netvolumenmål gns.'!F:F),FALSE)</f>
        <v>12241635.450892048</v>
      </c>
      <c r="G56" s="8">
        <f>VLOOKUP($B56,'Netvolumenmål gns.'!$A:$S,COLUMN('Netvolumenmål gns.'!P:P),FALSE)</f>
        <v>17750567.5986</v>
      </c>
      <c r="H56" s="8">
        <f>VLOOKUP($B56,'Netvolumenmål gns.'!$A:$S,COLUMN('Netvolumenmål gns.'!Q:Q),FALSE)</f>
        <v>11497298.698569315</v>
      </c>
      <c r="I56" s="8">
        <f>VLOOKUP($B56,'Netvolumenmål gns.'!$A:$S,COLUMN('Netvolumenmål gns.'!R:R),FALSE)</f>
        <v>29247866.297169313</v>
      </c>
      <c r="J56" s="6">
        <v>42.891193000000001</v>
      </c>
      <c r="K56" s="7">
        <v>0</v>
      </c>
      <c r="L56" s="8">
        <v>17340025.827607073</v>
      </c>
      <c r="M56" s="8">
        <v>12241635.450892048</v>
      </c>
      <c r="N56" s="8">
        <v>17750567.5986</v>
      </c>
      <c r="O56" s="8">
        <v>11497298.698569315</v>
      </c>
      <c r="P56" s="8">
        <v>29247866.297169313</v>
      </c>
      <c r="Q56" s="8">
        <f>VLOOKUP($B56,'Costdrivere gns.'!$A:$H,COLUMN('Costdrivere gns.'!C:C),FALSE)</f>
        <v>3069156.29</v>
      </c>
      <c r="R56" s="8">
        <f>VLOOKUP($B56,'Costdrivere gns.'!$A:$H,COLUMN('Costdrivere gns.'!D:D),FALSE)</f>
        <v>14109445.35</v>
      </c>
      <c r="S56" s="8">
        <f>VLOOKUP($B56,'Costdrivere gns.'!$A:$H,COLUMN('Costdrivere gns.'!E:E),FALSE)</f>
        <v>0</v>
      </c>
      <c r="T56" s="8">
        <f>VLOOKUP($B56,'Costdrivere gns.'!$A:$H,COLUMN('Costdrivere gns.'!F:F),FALSE)</f>
        <v>159978.62</v>
      </c>
      <c r="U56" s="8">
        <f>VLOOKUP($B56,'Costdrivere gns.'!$A:$H,COLUMN('Costdrivere gns.'!G:G),FALSE)</f>
        <v>1445.5650000000001</v>
      </c>
      <c r="V56" s="8">
        <f>VLOOKUP(B56,'Costdrivere gns.'!$A$3:$H$77,COLUMN('Costdrivere gns.'!$H$2))</f>
        <v>7228091.7350000003</v>
      </c>
      <c r="W56" s="8">
        <f>AVERAGE(VLOOKUP(B56,'Costdrivere 2024'!$A$3:$AC$77,COLUMN('Costdrivere 2024'!$AC$2),FALSE),VLOOKUP(B56,'Costdrivere 2025'!$A$3:$AC$77,COLUMN('Costdrivere 2025'!$AC$2),FALSE))</f>
        <v>8628971.7296264265</v>
      </c>
      <c r="X56" s="8">
        <f>AVERAGE(VLOOKUP(B56,'Costdrivere 2024'!$A$3:$AD$77,COLUMN('Costdrivere 2024'!$AD$2),FALSE),VLOOKUP(B56,'Costdrivere 2025'!$A$3:$AD$77,COLUMN('Costdrivere 2025'!$AD$2),FALSE))</f>
        <v>2471749.5195656219</v>
      </c>
      <c r="Y56" s="8">
        <v>3069156.29</v>
      </c>
      <c r="Z56" s="8">
        <v>14109445.35</v>
      </c>
      <c r="AA56" s="8">
        <v>0</v>
      </c>
      <c r="AB56" s="8">
        <v>159978.62</v>
      </c>
      <c r="AC56" s="8">
        <v>1445.5650000000001</v>
      </c>
      <c r="AD56" s="8">
        <v>7228091.7350000003</v>
      </c>
      <c r="AE56" s="8">
        <v>8628971.7296264265</v>
      </c>
      <c r="AF56" s="8">
        <v>2471749.5195656219</v>
      </c>
      <c r="AG56" s="8">
        <f>AVERAGE(VLOOKUP(B56,'Costdrivere 2024'!$A$3:$X$77,COLUMN('Costdrivere 2024'!X:X)),VLOOKUP(B56,'Costdrivere 2025'!$A$3:$X$77,COLUMN('Costdrivere 2025'!X:X)))</f>
        <v>0</v>
      </c>
      <c r="AH56" s="8">
        <f>AVERAGE(VLOOKUP(B56,'Costdrivere 2024'!$A$3:$Y$77,COLUMN('Costdrivere 2024'!Y:Y)),VLOOKUP(B56,'Costdrivere 2025'!$A$3:$Y$77,COLUMN('Costdrivere 2025'!Y:Y)))</f>
        <v>7232159.5</v>
      </c>
      <c r="AI56" s="8">
        <v>0</v>
      </c>
      <c r="AJ56" s="8">
        <v>7232159.5</v>
      </c>
    </row>
    <row r="57" spans="1:36" x14ac:dyDescent="0.25">
      <c r="A57" s="5" t="s">
        <v>198</v>
      </c>
      <c r="B57" s="5" t="s">
        <v>58</v>
      </c>
      <c r="C57" s="6">
        <f>VLOOKUP($B57,'Netvolumenmål gns.'!$A:$S,COLUMN('Netvolumenmål gns.'!C:C),FALSE)</f>
        <v>36.838442499999999</v>
      </c>
      <c r="D57" s="7">
        <f>VLOOKUP($B57,'Netvolumenmål gns.'!$A:$S,COLUMN('Netvolumenmål gns.'!D:D),FALSE)</f>
        <v>3.4760993604011373E-2</v>
      </c>
      <c r="E57" s="8">
        <f>VLOOKUP($B57,'Netvolumenmål gns.'!$A:$S,COLUMN('Netvolumenmål gns.'!E:E),FALSE)</f>
        <v>17424420.47208298</v>
      </c>
      <c r="F57" s="8">
        <f>VLOOKUP($B57,'Netvolumenmål gns.'!$A:$S,COLUMN('Netvolumenmål gns.'!F:F),FALSE)</f>
        <v>32409358.369084485</v>
      </c>
      <c r="G57" s="8">
        <f>VLOOKUP($B57,'Netvolumenmål gns.'!$A:$S,COLUMN('Netvolumenmål gns.'!P:P),FALSE)</f>
        <v>31719153.0612</v>
      </c>
      <c r="H57" s="8">
        <f>VLOOKUP($B57,'Netvolumenmål gns.'!$A:$S,COLUMN('Netvolumenmål gns.'!Q:Q),FALSE)</f>
        <v>31074156.943012021</v>
      </c>
      <c r="I57" s="8">
        <f>VLOOKUP($B57,'Netvolumenmål gns.'!$A:$S,COLUMN('Netvolumenmål gns.'!R:R),FALSE)</f>
        <v>62793310.004212022</v>
      </c>
      <c r="J57" s="6">
        <v>36.838442499999999</v>
      </c>
      <c r="K57" s="7">
        <v>3.4760993604011373E-2</v>
      </c>
      <c r="L57" s="8">
        <v>17424420.47208298</v>
      </c>
      <c r="M57" s="8">
        <v>32409358.369084485</v>
      </c>
      <c r="N57" s="8">
        <v>31719153.0612</v>
      </c>
      <c r="O57" s="8">
        <v>31074156.943012021</v>
      </c>
      <c r="P57" s="8">
        <v>62793310.004212022</v>
      </c>
      <c r="Q57" s="8">
        <f>VLOOKUP($B57,'Costdrivere gns.'!$A:$H,COLUMN('Costdrivere gns.'!C:C),FALSE)</f>
        <v>1775426.125</v>
      </c>
      <c r="R57" s="8">
        <f>VLOOKUP($B57,'Costdrivere gns.'!$A:$H,COLUMN('Costdrivere gns.'!D:D),FALSE)</f>
        <v>7833577.9649999999</v>
      </c>
      <c r="S57" s="8">
        <f>VLOOKUP($B57,'Costdrivere gns.'!$A:$H,COLUMN('Costdrivere gns.'!E:E),FALSE)</f>
        <v>585446.49</v>
      </c>
      <c r="T57" s="8">
        <f>VLOOKUP($B57,'Costdrivere gns.'!$A:$H,COLUMN('Costdrivere gns.'!F:F),FALSE)</f>
        <v>4592806.7949999999</v>
      </c>
      <c r="U57" s="8">
        <f>VLOOKUP($B57,'Costdrivere gns.'!$A:$H,COLUMN('Costdrivere gns.'!G:G),FALSE)</f>
        <v>2637163.105</v>
      </c>
      <c r="V57" s="8">
        <f>VLOOKUP(B57,'Costdrivere gns.'!$A$3:$H$77,COLUMN('Costdrivere gns.'!$H$2))</f>
        <v>3870561.22</v>
      </c>
      <c r="W57" s="8">
        <f>AVERAGE(VLOOKUP(B57,'Costdrivere 2024'!$A$3:$AC$77,COLUMN('Costdrivere 2024'!$AC$2),FALSE),VLOOKUP(B57,'Costdrivere 2025'!$A$3:$AC$77,COLUMN('Costdrivere 2025'!$AC$2),FALSE))</f>
        <v>6826366.0720378328</v>
      </c>
      <c r="X57" s="8">
        <f>AVERAGE(VLOOKUP(B57,'Costdrivere 2024'!$A$3:$AD$77,COLUMN('Costdrivere 2024'!$AD$2),FALSE),VLOOKUP(B57,'Costdrivere 2025'!$A$3:$AD$77,COLUMN('Costdrivere 2025'!$AD$2),FALSE))</f>
        <v>24858776.297046654</v>
      </c>
      <c r="Y57" s="8">
        <v>1775426.125</v>
      </c>
      <c r="Z57" s="8">
        <v>7833577.9649999999</v>
      </c>
      <c r="AA57" s="8">
        <v>585446.49</v>
      </c>
      <c r="AB57" s="8">
        <v>4592806.7949999999</v>
      </c>
      <c r="AC57" s="8">
        <v>2637163.105</v>
      </c>
      <c r="AD57" s="8">
        <v>3870561.22</v>
      </c>
      <c r="AE57" s="8">
        <v>6826366.0720378328</v>
      </c>
      <c r="AF57" s="8">
        <v>24858776.297046654</v>
      </c>
      <c r="AG57" s="8">
        <f>AVERAGE(VLOOKUP(B57,'Costdrivere 2024'!$A$3:$X$77,COLUMN('Costdrivere 2024'!X:X)),VLOOKUP(B57,'Costdrivere 2025'!$A$3:$X$77,COLUMN('Costdrivere 2025'!X:X)))</f>
        <v>3604048</v>
      </c>
      <c r="AH57" s="8">
        <f>AVERAGE(VLOOKUP(B57,'Costdrivere 2024'!$A$3:$Y$77,COLUMN('Costdrivere 2024'!Y:Y)),VLOOKUP(B57,'Costdrivere 2025'!$A$3:$Y$77,COLUMN('Costdrivere 2025'!Y:Y)))</f>
        <v>3948943.5</v>
      </c>
      <c r="AI57" s="8">
        <v>3604048</v>
      </c>
      <c r="AJ57" s="8">
        <v>3948943.5</v>
      </c>
    </row>
    <row r="58" spans="1:36" x14ac:dyDescent="0.25">
      <c r="A58" s="5" t="s">
        <v>146</v>
      </c>
      <c r="B58" s="5" t="s">
        <v>59</v>
      </c>
      <c r="C58" s="6">
        <f>VLOOKUP($B58,'Netvolumenmål gns.'!$A:$S,COLUMN('Netvolumenmål gns.'!C:C),FALSE)</f>
        <v>35.333863999999998</v>
      </c>
      <c r="D58" s="7">
        <f>VLOOKUP($B58,'Netvolumenmål gns.'!$A:$S,COLUMN('Netvolumenmål gns.'!D:D),FALSE)</f>
        <v>4.8492404713556266E-2</v>
      </c>
      <c r="E58" s="8">
        <f>VLOOKUP($B58,'Netvolumenmål gns.'!$A:$S,COLUMN('Netvolumenmål gns.'!E:E),FALSE)</f>
        <v>5855793.6699925419</v>
      </c>
      <c r="F58" s="8">
        <f>VLOOKUP($B58,'Netvolumenmål gns.'!$A:$S,COLUMN('Netvolumenmål gns.'!F:F),FALSE)</f>
        <v>9641851.6776082516</v>
      </c>
      <c r="G58" s="8">
        <f>VLOOKUP($B58,'Netvolumenmål gns.'!$A:$S,COLUMN('Netvolumenmål gns.'!P:P),FALSE)</f>
        <v>7980249.2449000003</v>
      </c>
      <c r="H58" s="8">
        <f>VLOOKUP($B58,'Netvolumenmål gns.'!$A:$S,COLUMN('Netvolumenmål gns.'!Q:Q),FALSE)</f>
        <v>10733736.829464465</v>
      </c>
      <c r="I58" s="8">
        <f>VLOOKUP($B58,'Netvolumenmål gns.'!$A:$S,COLUMN('Netvolumenmål gns.'!R:R),FALSE)</f>
        <v>18713986.074364468</v>
      </c>
      <c r="J58" s="6">
        <v>35.333863999999998</v>
      </c>
      <c r="K58" s="7">
        <v>4.8492404713556266E-2</v>
      </c>
      <c r="L58" s="8">
        <v>5855793.6699925419</v>
      </c>
      <c r="M58" s="8">
        <v>9641851.6776082516</v>
      </c>
      <c r="N58" s="8">
        <v>7980249.2449000003</v>
      </c>
      <c r="O58" s="8">
        <v>10733736.829464465</v>
      </c>
      <c r="P58" s="8">
        <v>18713986.074364468</v>
      </c>
      <c r="Q58" s="8">
        <f>VLOOKUP($B58,'Costdrivere gns.'!$A:$H,COLUMN('Costdrivere gns.'!C:C),FALSE)</f>
        <v>604869.34</v>
      </c>
      <c r="R58" s="8">
        <f>VLOOKUP($B58,'Costdrivere gns.'!$A:$H,COLUMN('Costdrivere gns.'!D:D),FALSE)</f>
        <v>1868668.8049999999</v>
      </c>
      <c r="S58" s="8">
        <f>VLOOKUP($B58,'Costdrivere gns.'!$A:$H,COLUMN('Costdrivere gns.'!E:E),FALSE)</f>
        <v>313593.75</v>
      </c>
      <c r="T58" s="8">
        <f>VLOOKUP($B58,'Costdrivere gns.'!$A:$H,COLUMN('Costdrivere gns.'!F:F),FALSE)</f>
        <v>2097906.44</v>
      </c>
      <c r="U58" s="8">
        <f>VLOOKUP($B58,'Costdrivere gns.'!$A:$H,COLUMN('Costdrivere gns.'!G:G),FALSE)</f>
        <v>970755.33</v>
      </c>
      <c r="V58" s="8">
        <f>VLOOKUP(B58,'Costdrivere gns.'!$A$3:$H$77,COLUMN('Costdrivere gns.'!$H$2))</f>
        <v>1332976.875</v>
      </c>
      <c r="W58" s="8">
        <f>AVERAGE(VLOOKUP(B58,'Costdrivere 2024'!$A$3:$AC$77,COLUMN('Costdrivere 2024'!$AC$2),FALSE),VLOOKUP(B58,'Costdrivere 2025'!$A$3:$AC$77,COLUMN('Costdrivere 2025'!$AC$2),FALSE))</f>
        <v>2159472.2026475901</v>
      </c>
      <c r="X58" s="8">
        <f>AVERAGE(VLOOKUP(B58,'Costdrivere 2024'!$A$3:$AD$77,COLUMN('Costdrivere 2024'!$AD$2),FALSE),VLOOKUP(B58,'Costdrivere 2025'!$A$3:$AD$77,COLUMN('Costdrivere 2025'!$AD$2),FALSE))</f>
        <v>7100379.4749606606</v>
      </c>
      <c r="Y58" s="8">
        <v>604869.34</v>
      </c>
      <c r="Z58" s="8">
        <v>1868668.8049999999</v>
      </c>
      <c r="AA58" s="8">
        <v>313593.75</v>
      </c>
      <c r="AB58" s="8">
        <v>2097906.44</v>
      </c>
      <c r="AC58" s="8">
        <v>970755.33</v>
      </c>
      <c r="AD58" s="8">
        <v>1332976.875</v>
      </c>
      <c r="AE58" s="8">
        <v>2159472.2026475901</v>
      </c>
      <c r="AF58" s="8">
        <v>7100379.4749606606</v>
      </c>
      <c r="AG58" s="8">
        <f>AVERAGE(VLOOKUP(B58,'Costdrivere 2024'!$A$3:$X$77,COLUMN('Costdrivere 2024'!X:X)),VLOOKUP(B58,'Costdrivere 2025'!$A$3:$X$77,COLUMN('Costdrivere 2025'!X:X)))</f>
        <v>1099646.5</v>
      </c>
      <c r="AH58" s="8">
        <f>AVERAGE(VLOOKUP(B58,'Costdrivere 2024'!$A$3:$Y$77,COLUMN('Costdrivere 2024'!Y:Y)),VLOOKUP(B58,'Costdrivere 2025'!$A$3:$Y$77,COLUMN('Costdrivere 2025'!Y:Y)))</f>
        <v>1172283</v>
      </c>
      <c r="AI58" s="8">
        <v>1099646.5</v>
      </c>
      <c r="AJ58" s="8">
        <v>1172283</v>
      </c>
    </row>
    <row r="59" spans="1:36" x14ac:dyDescent="0.25">
      <c r="A59" s="5" t="s">
        <v>199</v>
      </c>
      <c r="B59" s="5" t="s">
        <v>60</v>
      </c>
      <c r="C59" s="6">
        <f>VLOOKUP($B59,'Netvolumenmål gns.'!$A:$S,COLUMN('Netvolumenmål gns.'!C:C),FALSE)</f>
        <v>36.9065175</v>
      </c>
      <c r="D59" s="7">
        <f>VLOOKUP($B59,'Netvolumenmål gns.'!$A:$S,COLUMN('Netvolumenmål gns.'!D:D),FALSE)</f>
        <v>2.4076851839969958E-2</v>
      </c>
      <c r="E59" s="8">
        <f>VLOOKUP($B59,'Netvolumenmål gns.'!$A:$S,COLUMN('Netvolumenmål gns.'!E:E),FALSE)</f>
        <v>10415727.275182992</v>
      </c>
      <c r="F59" s="8">
        <f>VLOOKUP($B59,'Netvolumenmål gns.'!$A:$S,COLUMN('Netvolumenmål gns.'!F:F),FALSE)</f>
        <v>20179501.768951282</v>
      </c>
      <c r="G59" s="8">
        <f>VLOOKUP($B59,'Netvolumenmål gns.'!$A:$S,COLUMN('Netvolumenmål gns.'!P:P),FALSE)</f>
        <v>10879314.0986</v>
      </c>
      <c r="H59" s="8">
        <f>VLOOKUP($B59,'Netvolumenmål gns.'!$A:$S,COLUMN('Netvolumenmål gns.'!Q:Q),FALSE)</f>
        <v>23632009.866360191</v>
      </c>
      <c r="I59" s="8">
        <f>VLOOKUP($B59,'Netvolumenmål gns.'!$A:$S,COLUMN('Netvolumenmål gns.'!R:R),FALSE)</f>
        <v>34511323.964960188</v>
      </c>
      <c r="J59" s="6">
        <v>36.9065175</v>
      </c>
      <c r="K59" s="7">
        <v>2.4076851839969958E-2</v>
      </c>
      <c r="L59" s="8">
        <v>10415727.275182992</v>
      </c>
      <c r="M59" s="8">
        <v>20179501.768951282</v>
      </c>
      <c r="N59" s="8">
        <v>10879314.0986</v>
      </c>
      <c r="O59" s="8">
        <v>23632009.866360191</v>
      </c>
      <c r="P59" s="8">
        <v>34511323.964960188</v>
      </c>
      <c r="Q59" s="8">
        <f>VLOOKUP($B59,'Costdrivere gns.'!$A:$H,COLUMN('Costdrivere gns.'!C:C),FALSE)</f>
        <v>1189797.9750000001</v>
      </c>
      <c r="R59" s="8">
        <f>VLOOKUP($B59,'Costdrivere gns.'!$A:$H,COLUMN('Costdrivere gns.'!D:D),FALSE)</f>
        <v>3428879.6349999998</v>
      </c>
      <c r="S59" s="8">
        <f>VLOOKUP($B59,'Costdrivere gns.'!$A:$H,COLUMN('Costdrivere gns.'!E:E),FALSE)</f>
        <v>384001.91</v>
      </c>
      <c r="T59" s="8">
        <f>VLOOKUP($B59,'Costdrivere gns.'!$A:$H,COLUMN('Costdrivere gns.'!F:F),FALSE)</f>
        <v>3609435.7050000001</v>
      </c>
      <c r="U59" s="8">
        <f>VLOOKUP($B59,'Costdrivere gns.'!$A:$H,COLUMN('Costdrivere gns.'!G:G),FALSE)</f>
        <v>1803612.05</v>
      </c>
      <c r="V59" s="8">
        <f>VLOOKUP(B59,'Costdrivere gns.'!$A$3:$H$77,COLUMN('Costdrivere gns.'!$H$2))</f>
        <v>2725655.8149999999</v>
      </c>
      <c r="W59" s="8">
        <f>AVERAGE(VLOOKUP(B59,'Costdrivere 2024'!$A$3:$AC$77,COLUMN('Costdrivere 2024'!$AC$2),FALSE),VLOOKUP(B59,'Costdrivere 2025'!$A$3:$AC$77,COLUMN('Costdrivere 2025'!$AC$2),FALSE))</f>
        <v>3327022.1790979463</v>
      </c>
      <c r="X59" s="8">
        <f>AVERAGE(VLOOKUP(B59,'Costdrivere 2024'!$A$3:$AD$77,COLUMN('Costdrivere 2024'!$AD$2),FALSE),VLOOKUP(B59,'Costdrivere 2025'!$A$3:$AD$77,COLUMN('Costdrivere 2025'!$AD$2),FALSE))</f>
        <v>15752479.589853335</v>
      </c>
      <c r="Y59" s="8">
        <v>1189797.9750000001</v>
      </c>
      <c r="Z59" s="8">
        <v>3428879.6349999998</v>
      </c>
      <c r="AA59" s="8">
        <v>384001.91</v>
      </c>
      <c r="AB59" s="8">
        <v>3609435.7050000001</v>
      </c>
      <c r="AC59" s="8">
        <v>1803612.05</v>
      </c>
      <c r="AD59" s="8">
        <v>2725655.8149999999</v>
      </c>
      <c r="AE59" s="8">
        <v>3327022.1790979463</v>
      </c>
      <c r="AF59" s="8">
        <v>15752479.589853335</v>
      </c>
      <c r="AG59" s="8">
        <f>AVERAGE(VLOOKUP(B59,'Costdrivere 2024'!$A$3:$X$77,COLUMN('Costdrivere 2024'!X:X)),VLOOKUP(B59,'Costdrivere 2025'!$A$3:$X$77,COLUMN('Costdrivere 2025'!X:X)))</f>
        <v>2442966.5</v>
      </c>
      <c r="AH59" s="8">
        <f>AVERAGE(VLOOKUP(B59,'Costdrivere 2024'!$A$3:$Y$77,COLUMN('Costdrivere 2024'!Y:Y)),VLOOKUP(B59,'Costdrivere 2025'!$A$3:$Y$77,COLUMN('Costdrivere 2025'!Y:Y)))</f>
        <v>2537550.5</v>
      </c>
      <c r="AI59" s="8">
        <v>2442966.5</v>
      </c>
      <c r="AJ59" s="8">
        <v>2537550.5</v>
      </c>
    </row>
    <row r="60" spans="1:36" x14ac:dyDescent="0.25">
      <c r="A60" s="5" t="s">
        <v>147</v>
      </c>
      <c r="B60" s="5" t="s">
        <v>61</v>
      </c>
      <c r="C60" s="6">
        <f>VLOOKUP($B60,'Netvolumenmål gns.'!$A:$S,COLUMN('Netvolumenmål gns.'!C:C),FALSE)</f>
        <v>34.392440999999998</v>
      </c>
      <c r="D60" s="7">
        <f>VLOOKUP($B60,'Netvolumenmål gns.'!$A:$S,COLUMN('Netvolumenmål gns.'!D:D),FALSE)</f>
        <v>2.6498607656092608E-2</v>
      </c>
      <c r="E60" s="8">
        <f>VLOOKUP($B60,'Netvolumenmål gns.'!$A:$S,COLUMN('Netvolumenmål gns.'!E:E),FALSE)</f>
        <v>4607989.8538862765</v>
      </c>
      <c r="F60" s="8">
        <f>VLOOKUP($B60,'Netvolumenmål gns.'!$A:$S,COLUMN('Netvolumenmål gns.'!F:F),FALSE)</f>
        <v>7839840.9123218562</v>
      </c>
      <c r="G60" s="8">
        <f>VLOOKUP($B60,'Netvolumenmål gns.'!$A:$S,COLUMN('Netvolumenmål gns.'!P:P),FALSE)</f>
        <v>7958022.6073000003</v>
      </c>
      <c r="H60" s="8">
        <f>VLOOKUP($B60,'Netvolumenmål gns.'!$A:$S,COLUMN('Netvolumenmål gns.'!Q:Q),FALSE)</f>
        <v>8485237.5311795995</v>
      </c>
      <c r="I60" s="8">
        <f>VLOOKUP($B60,'Netvolumenmål gns.'!$A:$S,COLUMN('Netvolumenmål gns.'!R:R),FALSE)</f>
        <v>16443260.138479602</v>
      </c>
      <c r="J60" s="6">
        <v>34.392440999999998</v>
      </c>
      <c r="K60" s="7">
        <v>2.6498607656092608E-2</v>
      </c>
      <c r="L60" s="8">
        <v>4607989.8538862765</v>
      </c>
      <c r="M60" s="8">
        <v>7839840.9123218562</v>
      </c>
      <c r="N60" s="8">
        <v>7958022.6073000003</v>
      </c>
      <c r="O60" s="8">
        <v>8485237.5311795995</v>
      </c>
      <c r="P60" s="8">
        <v>16443260.138479602</v>
      </c>
      <c r="Q60" s="8">
        <f>VLOOKUP($B60,'Costdrivere gns.'!$A:$H,COLUMN('Costdrivere gns.'!C:C),FALSE)</f>
        <v>530072.36499999999</v>
      </c>
      <c r="R60" s="8">
        <f>VLOOKUP($B60,'Costdrivere gns.'!$A:$H,COLUMN('Costdrivere gns.'!D:D),FALSE)</f>
        <v>1565593.405</v>
      </c>
      <c r="S60" s="8">
        <f>VLOOKUP($B60,'Costdrivere gns.'!$A:$H,COLUMN('Costdrivere gns.'!E:E),FALSE)</f>
        <v>102524.15</v>
      </c>
      <c r="T60" s="8">
        <f>VLOOKUP($B60,'Costdrivere gns.'!$A:$H,COLUMN('Costdrivere gns.'!F:F),FALSE)</f>
        <v>1414683.82</v>
      </c>
      <c r="U60" s="8">
        <f>VLOOKUP($B60,'Costdrivere gns.'!$A:$H,COLUMN('Costdrivere gns.'!G:G),FALSE)</f>
        <v>995116.11</v>
      </c>
      <c r="V60" s="8">
        <f>VLOOKUP(B60,'Costdrivere gns.'!$A$3:$H$77,COLUMN('Costdrivere gns.'!$H$2))</f>
        <v>1167310.7649999999</v>
      </c>
      <c r="W60" s="8">
        <f>AVERAGE(VLOOKUP(B60,'Costdrivere 2024'!$A$3:$AC$77,COLUMN('Costdrivere 2024'!$AC$2),FALSE),VLOOKUP(B60,'Costdrivere 2025'!$A$3:$AC$77,COLUMN('Costdrivere 2025'!$AC$2),FALSE))</f>
        <v>1356986.9512125612</v>
      </c>
      <c r="X60" s="8">
        <f>AVERAGE(VLOOKUP(B60,'Costdrivere 2024'!$A$3:$AD$77,COLUMN('Costdrivere 2024'!$AD$2),FALSE),VLOOKUP(B60,'Costdrivere 2025'!$A$3:$AD$77,COLUMN('Costdrivere 2025'!$AD$2),FALSE))</f>
        <v>6355338.6195599996</v>
      </c>
      <c r="Y60" s="8">
        <v>530072.36499999999</v>
      </c>
      <c r="Z60" s="8">
        <v>1565593.405</v>
      </c>
      <c r="AA60" s="8">
        <v>102524.15</v>
      </c>
      <c r="AB60" s="8">
        <v>1414683.82</v>
      </c>
      <c r="AC60" s="8">
        <v>995116.11</v>
      </c>
      <c r="AD60" s="8">
        <v>1167310.7649999999</v>
      </c>
      <c r="AE60" s="8">
        <v>1356986.9512125612</v>
      </c>
      <c r="AF60" s="8">
        <v>6355338.6195599996</v>
      </c>
      <c r="AG60" s="8">
        <f>AVERAGE(VLOOKUP(B60,'Costdrivere 2024'!$A$3:$X$77,COLUMN('Costdrivere 2024'!X:X)),VLOOKUP(B60,'Costdrivere 2025'!$A$3:$X$77,COLUMN('Costdrivere 2025'!X:X)))</f>
        <v>948573.5</v>
      </c>
      <c r="AH60" s="8">
        <f>AVERAGE(VLOOKUP(B60,'Costdrivere 2024'!$A$3:$Y$77,COLUMN('Costdrivere 2024'!Y:Y)),VLOOKUP(B60,'Costdrivere 2025'!$A$3:$Y$77,COLUMN('Costdrivere 2025'!Y:Y)))</f>
        <v>1037114</v>
      </c>
      <c r="AI60" s="8">
        <v>948573.5</v>
      </c>
      <c r="AJ60" s="8">
        <v>1037114</v>
      </c>
    </row>
    <row r="61" spans="1:36" x14ac:dyDescent="0.25">
      <c r="A61" s="5" t="s">
        <v>200</v>
      </c>
      <c r="B61" s="5" t="s">
        <v>62</v>
      </c>
      <c r="C61" s="6">
        <f>VLOOKUP($B61,'Netvolumenmål gns.'!$A:$S,COLUMN('Netvolumenmål gns.'!C:C),FALSE)</f>
        <v>36.035773500000005</v>
      </c>
      <c r="D61" s="7">
        <f>VLOOKUP($B61,'Netvolumenmål gns.'!$A:$S,COLUMN('Netvolumenmål gns.'!D:D),FALSE)</f>
        <v>4.3740210892963892E-2</v>
      </c>
      <c r="E61" s="8">
        <f>VLOOKUP($B61,'Netvolumenmål gns.'!$A:$S,COLUMN('Netvolumenmål gns.'!E:E),FALSE)</f>
        <v>8652532.6512426548</v>
      </c>
      <c r="F61" s="8">
        <f>VLOOKUP($B61,'Netvolumenmål gns.'!$A:$S,COLUMN('Netvolumenmål gns.'!F:F),FALSE)</f>
        <v>18277357.870338343</v>
      </c>
      <c r="G61" s="8">
        <f>VLOOKUP($B61,'Netvolumenmål gns.'!$A:$S,COLUMN('Netvolumenmål gns.'!P:P),FALSE)</f>
        <v>14672540.837850001</v>
      </c>
      <c r="H61" s="8">
        <f>VLOOKUP($B61,'Netvolumenmål gns.'!$A:$S,COLUMN('Netvolumenmål gns.'!Q:Q),FALSE)</f>
        <v>22154482.509542175</v>
      </c>
      <c r="I61" s="8">
        <f>VLOOKUP($B61,'Netvolumenmål gns.'!$A:$S,COLUMN('Netvolumenmål gns.'!R:R),FALSE)</f>
        <v>36827023.347392172</v>
      </c>
      <c r="J61" s="6">
        <v>36.035773500000005</v>
      </c>
      <c r="K61" s="7">
        <v>4.3740210892963892E-2</v>
      </c>
      <c r="L61" s="8">
        <v>8652532.6512426548</v>
      </c>
      <c r="M61" s="8">
        <v>18277357.870338343</v>
      </c>
      <c r="N61" s="8">
        <v>14672540.837850001</v>
      </c>
      <c r="O61" s="8">
        <v>22154482.509542175</v>
      </c>
      <c r="P61" s="8">
        <v>36827023.347392172</v>
      </c>
      <c r="Q61" s="8">
        <f>VLOOKUP($B61,'Costdrivere gns.'!$A:$H,COLUMN('Costdrivere gns.'!C:C),FALSE)</f>
        <v>908882.42500000005</v>
      </c>
      <c r="R61" s="8">
        <f>VLOOKUP($B61,'Costdrivere gns.'!$A:$H,COLUMN('Costdrivere gns.'!D:D),FALSE)</f>
        <v>2577264.4500000002</v>
      </c>
      <c r="S61" s="8">
        <f>VLOOKUP($B61,'Costdrivere gns.'!$A:$H,COLUMN('Costdrivere gns.'!E:E),FALSE)</f>
        <v>298517.34999999998</v>
      </c>
      <c r="T61" s="8">
        <f>VLOOKUP($B61,'Costdrivere gns.'!$A:$H,COLUMN('Costdrivere gns.'!F:F),FALSE)</f>
        <v>3151337.0649999999</v>
      </c>
      <c r="U61" s="8">
        <f>VLOOKUP($B61,'Costdrivere gns.'!$A:$H,COLUMN('Costdrivere gns.'!G:G),FALSE)</f>
        <v>1716531.365</v>
      </c>
      <c r="V61" s="8">
        <f>VLOOKUP(B61,'Costdrivere gns.'!$A$3:$H$77,COLUMN('Costdrivere gns.'!$H$2))</f>
        <v>2017819.9350000001</v>
      </c>
      <c r="W61" s="8">
        <f>AVERAGE(VLOOKUP(B61,'Costdrivere 2024'!$A$3:$AC$77,COLUMN('Costdrivere 2024'!$AC$2),FALSE),VLOOKUP(B61,'Costdrivere 2025'!$A$3:$AC$77,COLUMN('Costdrivere 2025'!$AC$2),FALSE))</f>
        <v>5387277.828928005</v>
      </c>
      <c r="X61" s="8">
        <f>AVERAGE(VLOOKUP(B61,'Costdrivere 2024'!$A$3:$AD$77,COLUMN('Costdrivere 2024'!$AD$2),FALSE),VLOOKUP(B61,'Costdrivere 2025'!$A$3:$AD$77,COLUMN('Costdrivere 2025'!$AD$2),FALSE))</f>
        <v>11738681.21381833</v>
      </c>
      <c r="Y61" s="8">
        <v>908882.42500000005</v>
      </c>
      <c r="Z61" s="8">
        <v>2577264.4500000002</v>
      </c>
      <c r="AA61" s="8">
        <v>298517.34999999998</v>
      </c>
      <c r="AB61" s="8">
        <v>3151337.0649999999</v>
      </c>
      <c r="AC61" s="8">
        <v>1716531.365</v>
      </c>
      <c r="AD61" s="8">
        <v>2017819.9350000001</v>
      </c>
      <c r="AE61" s="8">
        <v>5387277.828928005</v>
      </c>
      <c r="AF61" s="8">
        <v>11738681.21381833</v>
      </c>
      <c r="AG61" s="8">
        <f>AVERAGE(VLOOKUP(B61,'Costdrivere 2024'!$A$3:$X$77,COLUMN('Costdrivere 2024'!X:X)),VLOOKUP(B61,'Costdrivere 2025'!$A$3:$X$77,COLUMN('Costdrivere 2025'!X:X)))</f>
        <v>1745912.5</v>
      </c>
      <c r="AH61" s="8">
        <f>AVERAGE(VLOOKUP(B61,'Costdrivere 2024'!$A$3:$Y$77,COLUMN('Costdrivere 2024'!Y:Y)),VLOOKUP(B61,'Costdrivere 2025'!$A$3:$Y$77,COLUMN('Costdrivere 2025'!Y:Y)))</f>
        <v>1856518</v>
      </c>
      <c r="AI61" s="8">
        <v>1745912.5</v>
      </c>
      <c r="AJ61" s="8">
        <v>1856518</v>
      </c>
    </row>
    <row r="62" spans="1:36" x14ac:dyDescent="0.25">
      <c r="A62" s="5" t="s">
        <v>201</v>
      </c>
      <c r="B62" s="5" t="s">
        <v>63</v>
      </c>
      <c r="C62" s="6">
        <f>VLOOKUP($B62,'Netvolumenmål gns.'!$A:$S,COLUMN('Netvolumenmål gns.'!C:C),FALSE)</f>
        <v>37.659618500000001</v>
      </c>
      <c r="D62" s="7">
        <f>VLOOKUP($B62,'Netvolumenmål gns.'!$A:$S,COLUMN('Netvolumenmål gns.'!D:D),FALSE)</f>
        <v>4.4904382396890659E-2</v>
      </c>
      <c r="E62" s="8">
        <f>VLOOKUP($B62,'Netvolumenmål gns.'!$A:$S,COLUMN('Netvolumenmål gns.'!E:E),FALSE)</f>
        <v>9653871.6037475616</v>
      </c>
      <c r="F62" s="8">
        <f>VLOOKUP($B62,'Netvolumenmål gns.'!$A:$S,COLUMN('Netvolumenmål gns.'!F:F),FALSE)</f>
        <v>17716209.256169975</v>
      </c>
      <c r="G62" s="8">
        <f>VLOOKUP($B62,'Netvolumenmål gns.'!$A:$S,COLUMN('Netvolumenmål gns.'!P:P),FALSE)</f>
        <v>11276386.59725</v>
      </c>
      <c r="H62" s="8">
        <f>VLOOKUP($B62,'Netvolumenmål gns.'!$A:$S,COLUMN('Netvolumenmål gns.'!Q:Q),FALSE)</f>
        <v>18939577.396590486</v>
      </c>
      <c r="I62" s="8">
        <f>VLOOKUP($B62,'Netvolumenmål gns.'!$A:$S,COLUMN('Netvolumenmål gns.'!R:R),FALSE)</f>
        <v>30215963.993840486</v>
      </c>
      <c r="J62" s="6">
        <v>37.659618500000001</v>
      </c>
      <c r="K62" s="7">
        <v>4.4904382396890659E-2</v>
      </c>
      <c r="L62" s="8">
        <v>9653871.6037475616</v>
      </c>
      <c r="M62" s="8">
        <v>17716209.256169975</v>
      </c>
      <c r="N62" s="8">
        <v>11276386.59725</v>
      </c>
      <c r="O62" s="8">
        <v>18939577.396590486</v>
      </c>
      <c r="P62" s="8">
        <v>30215963.993840486</v>
      </c>
      <c r="Q62" s="8">
        <f>VLOOKUP($B62,'Costdrivere gns.'!$A:$H,COLUMN('Costdrivere gns.'!C:C),FALSE)</f>
        <v>1159032.7649999999</v>
      </c>
      <c r="R62" s="8">
        <f>VLOOKUP($B62,'Costdrivere gns.'!$A:$H,COLUMN('Costdrivere gns.'!D:D),FALSE)</f>
        <v>3210373.8250000002</v>
      </c>
      <c r="S62" s="8">
        <f>VLOOKUP($B62,'Costdrivere gns.'!$A:$H,COLUMN('Costdrivere gns.'!E:E),FALSE)</f>
        <v>287842.95</v>
      </c>
      <c r="T62" s="8">
        <f>VLOOKUP($B62,'Costdrivere gns.'!$A:$H,COLUMN('Costdrivere gns.'!F:F),FALSE)</f>
        <v>3015880.915</v>
      </c>
      <c r="U62" s="8">
        <f>VLOOKUP($B62,'Costdrivere gns.'!$A:$H,COLUMN('Costdrivere gns.'!G:G),FALSE)</f>
        <v>1980741.145</v>
      </c>
      <c r="V62" s="8">
        <f>VLOOKUP(B62,'Costdrivere gns.'!$A$3:$H$77,COLUMN('Costdrivere gns.'!$H$2))</f>
        <v>2379517.9900000002</v>
      </c>
      <c r="W62" s="8">
        <f>AVERAGE(VLOOKUP(B62,'Costdrivere 2024'!$A$3:$AC$77,COLUMN('Costdrivere 2024'!$AC$2),FALSE),VLOOKUP(B62,'Costdrivere 2025'!$A$3:$AC$77,COLUMN('Costdrivere 2025'!$AC$2),FALSE))</f>
        <v>4223033.2540571894</v>
      </c>
      <c r="X62" s="8">
        <f>AVERAGE(VLOOKUP(B62,'Costdrivere 2024'!$A$3:$AD$77,COLUMN('Costdrivere 2024'!$AD$2),FALSE),VLOOKUP(B62,'Costdrivere 2025'!$A$3:$AD$77,COLUMN('Costdrivere 2025'!$AD$2),FALSE))</f>
        <v>12490197.122441862</v>
      </c>
      <c r="Y62" s="8">
        <v>1159032.7649999999</v>
      </c>
      <c r="Z62" s="8">
        <v>3210373.8250000002</v>
      </c>
      <c r="AA62" s="8">
        <v>287842.95</v>
      </c>
      <c r="AB62" s="8">
        <v>3015880.915</v>
      </c>
      <c r="AC62" s="8">
        <v>1980741.145</v>
      </c>
      <c r="AD62" s="8">
        <v>2379517.9900000002</v>
      </c>
      <c r="AE62" s="8">
        <v>4223033.2540571894</v>
      </c>
      <c r="AF62" s="8">
        <v>12490197.122441862</v>
      </c>
      <c r="AG62" s="8">
        <f>AVERAGE(VLOOKUP(B62,'Costdrivere 2024'!$A$3:$X$77,COLUMN('Costdrivere 2024'!X:X)),VLOOKUP(B62,'Costdrivere 2025'!$A$3:$X$77,COLUMN('Costdrivere 2025'!X:X)))</f>
        <v>2175541.5</v>
      </c>
      <c r="AH62" s="8">
        <f>AVERAGE(VLOOKUP(B62,'Costdrivere 2024'!$A$3:$Y$77,COLUMN('Costdrivere 2024'!Y:Y)),VLOOKUP(B62,'Costdrivere 2025'!$A$3:$Y$77,COLUMN('Costdrivere 2025'!Y:Y)))</f>
        <v>2369351.5</v>
      </c>
      <c r="AI62" s="8">
        <v>2175541.5</v>
      </c>
      <c r="AJ62" s="8">
        <v>2369351.5</v>
      </c>
    </row>
    <row r="63" spans="1:36" x14ac:dyDescent="0.25">
      <c r="A63" s="5" t="s">
        <v>202</v>
      </c>
      <c r="B63" s="5" t="s">
        <v>64</v>
      </c>
      <c r="C63" s="6">
        <f>VLOOKUP($B63,'Netvolumenmål gns.'!$A:$S,COLUMN('Netvolumenmål gns.'!C:C),FALSE)</f>
        <v>38.232968999999997</v>
      </c>
      <c r="D63" s="7">
        <f>VLOOKUP($B63,'Netvolumenmål gns.'!$A:$S,COLUMN('Netvolumenmål gns.'!D:D),FALSE)</f>
        <v>2.080907744667827E-2</v>
      </c>
      <c r="E63" s="8">
        <f>VLOOKUP($B63,'Netvolumenmål gns.'!$A:$S,COLUMN('Netvolumenmål gns.'!E:E),FALSE)</f>
        <v>11052677.294410773</v>
      </c>
      <c r="F63" s="8">
        <f>VLOOKUP($B63,'Netvolumenmål gns.'!$A:$S,COLUMN('Netvolumenmål gns.'!F:F),FALSE)</f>
        <v>23173168.36447008</v>
      </c>
      <c r="G63" s="8">
        <f>VLOOKUP($B63,'Netvolumenmål gns.'!$A:$S,COLUMN('Netvolumenmål gns.'!P:P),FALSE)</f>
        <v>15799708.316199999</v>
      </c>
      <c r="H63" s="8">
        <f>VLOOKUP($B63,'Netvolumenmål gns.'!$A:$S,COLUMN('Netvolumenmål gns.'!Q:Q),FALSE)</f>
        <v>22121438.220748231</v>
      </c>
      <c r="I63" s="8">
        <f>VLOOKUP($B63,'Netvolumenmål gns.'!$A:$S,COLUMN('Netvolumenmål gns.'!R:R),FALSE)</f>
        <v>37921146.536948234</v>
      </c>
      <c r="J63" s="6">
        <v>38.232968999999997</v>
      </c>
      <c r="K63" s="7">
        <v>2.080907744667827E-2</v>
      </c>
      <c r="L63" s="8">
        <v>11052677.294410773</v>
      </c>
      <c r="M63" s="8">
        <v>23173168.36447008</v>
      </c>
      <c r="N63" s="8">
        <v>15799708.316199999</v>
      </c>
      <c r="O63" s="8">
        <v>22121438.220748231</v>
      </c>
      <c r="P63" s="8">
        <v>37921146.536948234</v>
      </c>
      <c r="Q63" s="8">
        <f>VLOOKUP($B63,'Costdrivere gns.'!$A:$H,COLUMN('Costdrivere gns.'!C:C),FALSE)</f>
        <v>1486562.32</v>
      </c>
      <c r="R63" s="8">
        <f>VLOOKUP($B63,'Costdrivere gns.'!$A:$H,COLUMN('Costdrivere gns.'!D:D),FALSE)</f>
        <v>4433756.78</v>
      </c>
      <c r="S63" s="8">
        <f>VLOOKUP($B63,'Costdrivere gns.'!$A:$H,COLUMN('Costdrivere gns.'!E:E),FALSE)</f>
        <v>313593.75</v>
      </c>
      <c r="T63" s="8">
        <f>VLOOKUP($B63,'Costdrivere gns.'!$A:$H,COLUMN('Costdrivere gns.'!F:F),FALSE)</f>
        <v>3158983.09</v>
      </c>
      <c r="U63" s="8">
        <f>VLOOKUP($B63,'Costdrivere gns.'!$A:$H,COLUMN('Costdrivere gns.'!G:G),FALSE)</f>
        <v>1659781.355</v>
      </c>
      <c r="V63" s="8">
        <f>VLOOKUP(B63,'Costdrivere gns.'!$A$3:$H$77,COLUMN('Costdrivere gns.'!$H$2))</f>
        <v>3342065.1150000002</v>
      </c>
      <c r="W63" s="8">
        <f>AVERAGE(VLOOKUP(B63,'Costdrivere 2024'!$A$3:$AC$77,COLUMN('Costdrivere 2024'!$AC$2),FALSE),VLOOKUP(B63,'Costdrivere 2025'!$A$3:$AC$77,COLUMN('Costdrivere 2025'!$AC$2),FALSE))</f>
        <v>3488890.0746471412</v>
      </c>
      <c r="X63" s="8">
        <f>AVERAGE(VLOOKUP(B63,'Costdrivere 2024'!$A$3:$AD$77,COLUMN('Costdrivere 2024'!$AD$2),FALSE),VLOOKUP(B63,'Costdrivere 2025'!$A$3:$AD$77,COLUMN('Costdrivere 2025'!$AD$2),FALSE))</f>
        <v>19208085.657906771</v>
      </c>
      <c r="Y63" s="8">
        <v>1486562.32</v>
      </c>
      <c r="Z63" s="8">
        <v>4433756.78</v>
      </c>
      <c r="AA63" s="8">
        <v>313593.75</v>
      </c>
      <c r="AB63" s="8">
        <v>3158983.09</v>
      </c>
      <c r="AC63" s="8">
        <v>1659781.355</v>
      </c>
      <c r="AD63" s="8">
        <v>3342065.1150000002</v>
      </c>
      <c r="AE63" s="8">
        <v>3488890.0746471412</v>
      </c>
      <c r="AF63" s="8">
        <v>19208085.657906771</v>
      </c>
      <c r="AG63" s="8">
        <f>AVERAGE(VLOOKUP(B63,'Costdrivere 2024'!$A$3:$X$77,COLUMN('Costdrivere 2024'!X:X)),VLOOKUP(B63,'Costdrivere 2025'!$A$3:$X$77,COLUMN('Costdrivere 2025'!X:X)))</f>
        <v>3005518.5</v>
      </c>
      <c r="AH63" s="8">
        <f>AVERAGE(VLOOKUP(B63,'Costdrivere 2024'!$A$3:$Y$77,COLUMN('Costdrivere 2024'!Y:Y)),VLOOKUP(B63,'Costdrivere 2025'!$A$3:$Y$77,COLUMN('Costdrivere 2025'!Y:Y)))</f>
        <v>3240284.5</v>
      </c>
      <c r="AI63" s="8">
        <v>3005518.5</v>
      </c>
      <c r="AJ63" s="8">
        <v>3240284.5</v>
      </c>
    </row>
    <row r="64" spans="1:36" x14ac:dyDescent="0.25">
      <c r="A64" s="5" t="s">
        <v>203</v>
      </c>
      <c r="B64" s="5" t="s">
        <v>65</v>
      </c>
      <c r="C64" s="6">
        <f>VLOOKUP($B64,'Netvolumenmål gns.'!$A:$S,COLUMN('Netvolumenmål gns.'!C:C),FALSE)</f>
        <v>33.357512499999999</v>
      </c>
      <c r="D64" s="7">
        <f>VLOOKUP($B64,'Netvolumenmål gns.'!$A:$S,COLUMN('Netvolumenmål gns.'!D:D),FALSE)</f>
        <v>7.8438544992947265E-2</v>
      </c>
      <c r="E64" s="8">
        <f>VLOOKUP($B64,'Netvolumenmål gns.'!$A:$S,COLUMN('Netvolumenmål gns.'!E:E),FALSE)</f>
        <v>39673610.931694403</v>
      </c>
      <c r="F64" s="8">
        <f>VLOOKUP($B64,'Netvolumenmål gns.'!$A:$S,COLUMN('Netvolumenmål gns.'!F:F),FALSE)</f>
        <v>64867684.567273416</v>
      </c>
      <c r="G64" s="8">
        <f>VLOOKUP($B64,'Netvolumenmål gns.'!$A:$S,COLUMN('Netvolumenmål gns.'!P:P),FALSE)</f>
        <v>88610444.040399998</v>
      </c>
      <c r="H64" s="8">
        <f>VLOOKUP($B64,'Netvolumenmål gns.'!$A:$S,COLUMN('Netvolumenmål gns.'!Q:Q),FALSE)</f>
        <v>87915485.432382882</v>
      </c>
      <c r="I64" s="8">
        <f>VLOOKUP($B64,'Netvolumenmål gns.'!$A:$S,COLUMN('Netvolumenmål gns.'!R:R),FALSE)</f>
        <v>176525929.47278291</v>
      </c>
      <c r="J64" s="6">
        <v>33.357512499999999</v>
      </c>
      <c r="K64" s="7">
        <v>7.8438544992947265E-2</v>
      </c>
      <c r="L64" s="8">
        <v>39673610.931694403</v>
      </c>
      <c r="M64" s="8">
        <v>64867684.567273416</v>
      </c>
      <c r="N64" s="8">
        <v>88610444.040399998</v>
      </c>
      <c r="O64" s="8">
        <v>87915485.432382882</v>
      </c>
      <c r="P64" s="8">
        <v>176525929.47278291</v>
      </c>
      <c r="Q64" s="8">
        <f>VLOOKUP($B64,'Costdrivere gns.'!$A:$H,COLUMN('Costdrivere gns.'!C:C),FALSE)</f>
        <v>5016988.05</v>
      </c>
      <c r="R64" s="8">
        <f>VLOOKUP($B64,'Costdrivere gns.'!$A:$H,COLUMN('Costdrivere gns.'!D:D),FALSE)</f>
        <v>15159319.4</v>
      </c>
      <c r="S64" s="8">
        <f>VLOOKUP($B64,'Costdrivere gns.'!$A:$H,COLUMN('Costdrivere gns.'!E:E),FALSE)</f>
        <v>1521656.59</v>
      </c>
      <c r="T64" s="8">
        <f>VLOOKUP($B64,'Costdrivere gns.'!$A:$H,COLUMN('Costdrivere gns.'!F:F),FALSE)</f>
        <v>11998707.82</v>
      </c>
      <c r="U64" s="8">
        <f>VLOOKUP($B64,'Costdrivere gns.'!$A:$H,COLUMN('Costdrivere gns.'!G:G),FALSE)</f>
        <v>5976939.0700000003</v>
      </c>
      <c r="V64" s="8">
        <f>VLOOKUP(B64,'Costdrivere gns.'!$A$3:$H$77,COLUMN('Costdrivere gns.'!$H$2))</f>
        <v>10519831.48</v>
      </c>
      <c r="W64" s="8">
        <f>AVERAGE(VLOOKUP(B64,'Costdrivere 2024'!$A$3:$AC$77,COLUMN('Costdrivere 2024'!$AC$2),FALSE),VLOOKUP(B64,'Costdrivere 2025'!$A$3:$AC$77,COLUMN('Costdrivere 2025'!$AC$2),FALSE))</f>
        <v>13148824.035073422</v>
      </c>
      <c r="X64" s="8">
        <f>AVERAGE(VLOOKUP(B64,'Costdrivere 2024'!$A$3:$AD$77,COLUMN('Costdrivere 2024'!$AD$2),FALSE),VLOOKUP(B64,'Costdrivere 2025'!$A$3:$AD$77,COLUMN('Costdrivere 2025'!$AD$2),FALSE))</f>
        <v>50298360.532199994</v>
      </c>
      <c r="Y64" s="8">
        <v>5016988.05</v>
      </c>
      <c r="Z64" s="8">
        <v>15159319.4</v>
      </c>
      <c r="AA64" s="8">
        <v>1521656.59</v>
      </c>
      <c r="AB64" s="8">
        <v>11998707.82</v>
      </c>
      <c r="AC64" s="8">
        <v>5976939.0700000003</v>
      </c>
      <c r="AD64" s="8">
        <v>10519831.48</v>
      </c>
      <c r="AE64" s="8">
        <v>13148824.035073422</v>
      </c>
      <c r="AF64" s="8">
        <v>50298360.532199994</v>
      </c>
      <c r="AG64" s="8">
        <f>AVERAGE(VLOOKUP(B64,'Costdrivere 2024'!$A$3:$X$77,COLUMN('Costdrivere 2024'!X:X)),VLOOKUP(B64,'Costdrivere 2025'!$A$3:$X$77,COLUMN('Costdrivere 2025'!X:X)))</f>
        <v>10975924.5</v>
      </c>
      <c r="AH64" s="8">
        <f>AVERAGE(VLOOKUP(B64,'Costdrivere 2024'!$A$3:$Y$77,COLUMN('Costdrivere 2024'!Y:Y)),VLOOKUP(B64,'Costdrivere 2025'!$A$3:$Y$77,COLUMN('Costdrivere 2025'!Y:Y)))</f>
        <v>11900744</v>
      </c>
      <c r="AI64" s="8">
        <v>10975924.5</v>
      </c>
      <c r="AJ64" s="8">
        <v>11900744</v>
      </c>
    </row>
    <row r="65" spans="1:36" x14ac:dyDescent="0.25">
      <c r="A65" s="5" t="s">
        <v>204</v>
      </c>
      <c r="B65" s="5" t="s">
        <v>66</v>
      </c>
      <c r="C65" s="6">
        <f>VLOOKUP($B65,'Netvolumenmål gns.'!$A:$S,COLUMN('Netvolumenmål gns.'!C:C),FALSE)</f>
        <v>39.867677</v>
      </c>
      <c r="D65" s="7">
        <f>VLOOKUP($B65,'Netvolumenmål gns.'!$A:$S,COLUMN('Netvolumenmål gns.'!D:D),FALSE)</f>
        <v>1.7225059431148361E-2</v>
      </c>
      <c r="E65" s="8">
        <f>VLOOKUP($B65,'Netvolumenmål gns.'!$A:$S,COLUMN('Netvolumenmål gns.'!E:E),FALSE)</f>
        <v>6384115.157460209</v>
      </c>
      <c r="F65" s="8">
        <f>VLOOKUP($B65,'Netvolumenmål gns.'!$A:$S,COLUMN('Netvolumenmål gns.'!F:F),FALSE)</f>
        <v>21632778.415381894</v>
      </c>
      <c r="G65" s="8">
        <f>VLOOKUP($B65,'Netvolumenmål gns.'!$A:$S,COLUMN('Netvolumenmål gns.'!P:P),FALSE)</f>
        <v>10935179.48625</v>
      </c>
      <c r="H65" s="8">
        <f>VLOOKUP($B65,'Netvolumenmål gns.'!$A:$S,COLUMN('Netvolumenmål gns.'!Q:Q),FALSE)</f>
        <v>14846920.373706032</v>
      </c>
      <c r="I65" s="8">
        <f>VLOOKUP($B65,'Netvolumenmål gns.'!$A:$S,COLUMN('Netvolumenmål gns.'!R:R),FALSE)</f>
        <v>25782099.859956034</v>
      </c>
      <c r="J65" s="6">
        <v>39.867677</v>
      </c>
      <c r="K65" s="7">
        <v>1.7225059431148361E-2</v>
      </c>
      <c r="L65" s="8">
        <v>6384115.157460209</v>
      </c>
      <c r="M65" s="8">
        <v>21632778.415381894</v>
      </c>
      <c r="N65" s="8">
        <v>10935179.48625</v>
      </c>
      <c r="O65" s="8">
        <v>14846920.373706032</v>
      </c>
      <c r="P65" s="8">
        <v>25782099.859956034</v>
      </c>
      <c r="Q65" s="8">
        <f>VLOOKUP($B65,'Costdrivere gns.'!$A:$H,COLUMN('Costdrivere gns.'!C:C),FALSE)</f>
        <v>811636.91500000004</v>
      </c>
      <c r="R65" s="8">
        <f>VLOOKUP($B65,'Costdrivere gns.'!$A:$H,COLUMN('Costdrivere gns.'!D:D),FALSE)</f>
        <v>2060435.905</v>
      </c>
      <c r="S65" s="8">
        <f>VLOOKUP($B65,'Costdrivere gns.'!$A:$H,COLUMN('Costdrivere gns.'!E:E),FALSE)</f>
        <v>102524.15</v>
      </c>
      <c r="T65" s="8">
        <f>VLOOKUP($B65,'Costdrivere gns.'!$A:$H,COLUMN('Costdrivere gns.'!F:F),FALSE)</f>
        <v>2159076.7450000001</v>
      </c>
      <c r="U65" s="8">
        <f>VLOOKUP($B65,'Costdrivere gns.'!$A:$H,COLUMN('Costdrivere gns.'!G:G),FALSE)</f>
        <v>1250441.45</v>
      </c>
      <c r="V65" s="8">
        <f>VLOOKUP(B65,'Costdrivere gns.'!$A$3:$H$77,COLUMN('Costdrivere gns.'!$H$2))</f>
        <v>1812928.9450000001</v>
      </c>
      <c r="W65" s="8">
        <f>AVERAGE(VLOOKUP(B65,'Costdrivere 2024'!$A$3:$AC$77,COLUMN('Costdrivere 2024'!$AC$2),FALSE),VLOOKUP(B65,'Costdrivere 2025'!$A$3:$AC$77,COLUMN('Costdrivere 2025'!$AC$2),FALSE))</f>
        <v>4458925.6901735552</v>
      </c>
      <c r="X65" s="8">
        <f>AVERAGE(VLOOKUP(B65,'Costdrivere 2024'!$A$3:$AD$77,COLUMN('Costdrivere 2024'!$AD$2),FALSE),VLOOKUP(B65,'Costdrivere 2025'!$A$3:$AD$77,COLUMN('Costdrivere 2025'!$AD$2),FALSE))</f>
        <v>16750852.725208336</v>
      </c>
      <c r="Y65" s="8">
        <v>811636.91500000004</v>
      </c>
      <c r="Z65" s="8">
        <v>2060435.905</v>
      </c>
      <c r="AA65" s="8">
        <v>102524.15</v>
      </c>
      <c r="AB65" s="8">
        <v>2159076.7450000001</v>
      </c>
      <c r="AC65" s="8">
        <v>1250441.45</v>
      </c>
      <c r="AD65" s="8">
        <v>1812928.9450000001</v>
      </c>
      <c r="AE65" s="8">
        <v>4458925.6901735552</v>
      </c>
      <c r="AF65" s="8">
        <v>16750852.725208336</v>
      </c>
      <c r="AG65" s="8">
        <f>AVERAGE(VLOOKUP(B65,'Costdrivere 2024'!$A$3:$X$77,COLUMN('Costdrivere 2024'!X:X)),VLOOKUP(B65,'Costdrivere 2025'!$A$3:$X$77,COLUMN('Costdrivere 2025'!X:X)))</f>
        <v>1554932.5</v>
      </c>
      <c r="AH65" s="8">
        <f>AVERAGE(VLOOKUP(B65,'Costdrivere 2024'!$A$3:$Y$77,COLUMN('Costdrivere 2024'!Y:Y)),VLOOKUP(B65,'Costdrivere 2025'!$A$3:$Y$77,COLUMN('Costdrivere 2025'!Y:Y)))</f>
        <v>1437926</v>
      </c>
      <c r="AI65" s="8">
        <v>1554932.5</v>
      </c>
      <c r="AJ65" s="8">
        <v>1437926</v>
      </c>
    </row>
    <row r="66" spans="1:36" x14ac:dyDescent="0.25">
      <c r="A66" s="5" t="s">
        <v>148</v>
      </c>
      <c r="B66" s="5" t="s">
        <v>67</v>
      </c>
      <c r="C66" s="6">
        <f>VLOOKUP($B66,'Netvolumenmål gns.'!$A:$S,COLUMN('Netvolumenmål gns.'!C:C),FALSE)</f>
        <v>45.5548225</v>
      </c>
      <c r="D66" s="7">
        <f>VLOOKUP($B66,'Netvolumenmål gns.'!$A:$S,COLUMN('Netvolumenmål gns.'!D:D),FALSE)</f>
        <v>0.11321557101550153</v>
      </c>
      <c r="E66" s="8">
        <f>VLOOKUP($B66,'Netvolumenmål gns.'!$A:$S,COLUMN('Netvolumenmål gns.'!E:E),FALSE)</f>
        <v>5514165.1833959762</v>
      </c>
      <c r="F66" s="8">
        <f>VLOOKUP($B66,'Netvolumenmål gns.'!$A:$S,COLUMN('Netvolumenmål gns.'!F:F),FALSE)</f>
        <v>8830721.2588237524</v>
      </c>
      <c r="G66" s="8">
        <f>VLOOKUP($B66,'Netvolumenmål gns.'!$A:$S,COLUMN('Netvolumenmål gns.'!P:P),FALSE)</f>
        <v>14436171.139699999</v>
      </c>
      <c r="H66" s="8">
        <f>VLOOKUP($B66,'Netvolumenmål gns.'!$A:$S,COLUMN('Netvolumenmål gns.'!Q:Q),FALSE)</f>
        <v>11481713.056462755</v>
      </c>
      <c r="I66" s="8">
        <f>VLOOKUP($B66,'Netvolumenmål gns.'!$A:$S,COLUMN('Netvolumenmål gns.'!R:R),FALSE)</f>
        <v>25917884.196162757</v>
      </c>
      <c r="J66" s="6">
        <v>45.5548225</v>
      </c>
      <c r="K66" s="7">
        <v>0.11321557101550153</v>
      </c>
      <c r="L66" s="8">
        <v>5514165.1833959762</v>
      </c>
      <c r="M66" s="8">
        <v>8830721.2588237524</v>
      </c>
      <c r="N66" s="8">
        <v>14436171.139699999</v>
      </c>
      <c r="O66" s="8">
        <v>11481713.056462755</v>
      </c>
      <c r="P66" s="8">
        <v>25917884.196162757</v>
      </c>
      <c r="Q66" s="8">
        <f>VLOOKUP($B66,'Costdrivere gns.'!$A:$H,COLUMN('Costdrivere gns.'!C:C),FALSE)</f>
        <v>351915.935</v>
      </c>
      <c r="R66" s="8">
        <f>VLOOKUP($B66,'Costdrivere gns.'!$A:$H,COLUMN('Costdrivere gns.'!D:D),FALSE)</f>
        <v>1488273.43</v>
      </c>
      <c r="S66" s="8">
        <f>VLOOKUP($B66,'Costdrivere gns.'!$A:$H,COLUMN('Costdrivere gns.'!E:E),FALSE)</f>
        <v>208395.15</v>
      </c>
      <c r="T66" s="8">
        <f>VLOOKUP($B66,'Costdrivere gns.'!$A:$H,COLUMN('Costdrivere gns.'!F:F),FALSE)</f>
        <v>2182896.895</v>
      </c>
      <c r="U66" s="8">
        <f>VLOOKUP($B66,'Costdrivere gns.'!$A:$H,COLUMN('Costdrivere gns.'!G:G),FALSE)</f>
        <v>1282683.77</v>
      </c>
      <c r="V66" s="8">
        <f>VLOOKUP(B66,'Costdrivere gns.'!$A$3:$H$77,COLUMN('Costdrivere gns.'!$H$2))</f>
        <v>3280675.4649999999</v>
      </c>
      <c r="W66" s="8">
        <f>AVERAGE(VLOOKUP(B66,'Costdrivere 2024'!$A$3:$AC$77,COLUMN('Costdrivere 2024'!$AC$2),FALSE),VLOOKUP(B66,'Costdrivere 2025'!$A$3:$AC$77,COLUMN('Costdrivere 2025'!$AC$2),FALSE))</f>
        <v>1082260.9042526218</v>
      </c>
      <c r="X66" s="8">
        <f>AVERAGE(VLOOKUP(B66,'Costdrivere 2024'!$A$3:$AD$77,COLUMN('Costdrivere 2024'!$AD$2),FALSE),VLOOKUP(B66,'Costdrivere 2025'!$A$3:$AD$77,COLUMN('Costdrivere 2025'!$AD$2),FALSE))</f>
        <v>7411352.3545711311</v>
      </c>
      <c r="Y66" s="8">
        <v>351915.935</v>
      </c>
      <c r="Z66" s="8">
        <v>1488273.43</v>
      </c>
      <c r="AA66" s="8">
        <v>208395.15</v>
      </c>
      <c r="AB66" s="8">
        <v>2182896.895</v>
      </c>
      <c r="AC66" s="8">
        <v>1282683.77</v>
      </c>
      <c r="AD66" s="8">
        <v>3280675.4649999999</v>
      </c>
      <c r="AE66" s="8">
        <v>1082260.9042526218</v>
      </c>
      <c r="AF66" s="8">
        <v>7411352.3545711311</v>
      </c>
      <c r="AG66" s="8">
        <f>AVERAGE(VLOOKUP(B66,'Costdrivere 2024'!$A$3:$X$77,COLUMN('Costdrivere 2024'!X:X)),VLOOKUP(B66,'Costdrivere 2025'!$A$3:$X$77,COLUMN('Costdrivere 2025'!X:X)))</f>
        <v>2328567.5</v>
      </c>
      <c r="AH66" s="8">
        <f>AVERAGE(VLOOKUP(B66,'Costdrivere 2024'!$A$3:$Y$77,COLUMN('Costdrivere 2024'!Y:Y)),VLOOKUP(B66,'Costdrivere 2025'!$A$3:$Y$77,COLUMN('Costdrivere 2025'!Y:Y)))</f>
        <v>629401.5</v>
      </c>
      <c r="AI66" s="8">
        <v>2328567.5</v>
      </c>
      <c r="AJ66" s="8">
        <v>629401.5</v>
      </c>
    </row>
    <row r="67" spans="1:36" x14ac:dyDescent="0.25">
      <c r="A67" s="5" t="s">
        <v>149</v>
      </c>
      <c r="B67" s="5" t="s">
        <v>68</v>
      </c>
      <c r="C67" s="6">
        <f>VLOOKUP($B67,'Netvolumenmål gns.'!$A:$S,COLUMN('Netvolumenmål gns.'!C:C),FALSE)</f>
        <v>34.971969999999999</v>
      </c>
      <c r="D67" s="7">
        <f>VLOOKUP($B67,'Netvolumenmål gns.'!$A:$S,COLUMN('Netvolumenmål gns.'!D:D),FALSE)</f>
        <v>0.13747868786973672</v>
      </c>
      <c r="E67" s="8">
        <f>VLOOKUP($B67,'Netvolumenmål gns.'!$A:$S,COLUMN('Netvolumenmål gns.'!E:E),FALSE)</f>
        <v>7647881.9953280184</v>
      </c>
      <c r="F67" s="8">
        <f>VLOOKUP($B67,'Netvolumenmål gns.'!$A:$S,COLUMN('Netvolumenmål gns.'!F:F),FALSE)</f>
        <v>13898062.965730891</v>
      </c>
      <c r="G67" s="8">
        <f>VLOOKUP($B67,'Netvolumenmål gns.'!$A:$S,COLUMN('Netvolumenmål gns.'!P:P),FALSE)</f>
        <v>15030166.84585</v>
      </c>
      <c r="H67" s="8">
        <f>VLOOKUP($B67,'Netvolumenmål gns.'!$A:$S,COLUMN('Netvolumenmål gns.'!Q:Q),FALSE)</f>
        <v>21698889.310360737</v>
      </c>
      <c r="I67" s="8">
        <f>VLOOKUP($B67,'Netvolumenmål gns.'!$A:$S,COLUMN('Netvolumenmål gns.'!R:R),FALSE)</f>
        <v>36729056.156210735</v>
      </c>
      <c r="J67" s="6">
        <v>34.971969999999999</v>
      </c>
      <c r="K67" s="7">
        <v>0.13747868786973672</v>
      </c>
      <c r="L67" s="8">
        <v>7647881.9953280184</v>
      </c>
      <c r="M67" s="8">
        <v>13898062.965730891</v>
      </c>
      <c r="N67" s="8">
        <v>15030166.84585</v>
      </c>
      <c r="O67" s="8">
        <v>21698889.310360737</v>
      </c>
      <c r="P67" s="8">
        <v>36729056.156210735</v>
      </c>
      <c r="Q67" s="8">
        <f>VLOOKUP($B67,'Costdrivere gns.'!$A:$H,COLUMN('Costdrivere gns.'!C:C),FALSE)</f>
        <v>826157.51</v>
      </c>
      <c r="R67" s="8">
        <f>VLOOKUP($B67,'Costdrivere gns.'!$A:$H,COLUMN('Costdrivere gns.'!D:D),FALSE)</f>
        <v>2444273.5150000001</v>
      </c>
      <c r="S67" s="8">
        <f>VLOOKUP($B67,'Costdrivere gns.'!$A:$H,COLUMN('Costdrivere gns.'!E:E),FALSE)</f>
        <v>182023.55</v>
      </c>
      <c r="T67" s="8">
        <f>VLOOKUP($B67,'Costdrivere gns.'!$A:$H,COLUMN('Costdrivere gns.'!F:F),FALSE)</f>
        <v>2597586.125</v>
      </c>
      <c r="U67" s="8">
        <f>VLOOKUP($B67,'Costdrivere gns.'!$A:$H,COLUMN('Costdrivere gns.'!G:G),FALSE)</f>
        <v>1597841.29</v>
      </c>
      <c r="V67" s="8">
        <f>VLOOKUP(B67,'Costdrivere gns.'!$A$3:$H$77,COLUMN('Costdrivere gns.'!$H$2))</f>
        <v>3441721.8849999998</v>
      </c>
      <c r="W67" s="8">
        <f>AVERAGE(VLOOKUP(B67,'Costdrivere 2024'!$A$3:$AC$77,COLUMN('Costdrivere 2024'!$AC$2),FALSE),VLOOKUP(B67,'Costdrivere 2025'!$A$3:$AC$77,COLUMN('Costdrivere 2025'!$AC$2),FALSE))</f>
        <v>2210082.3170931488</v>
      </c>
      <c r="X67" s="8">
        <f>AVERAGE(VLOOKUP(B67,'Costdrivere 2024'!$A$3:$AD$77,COLUMN('Costdrivere 2024'!$AD$2),FALSE),VLOOKUP(B67,'Costdrivere 2025'!$A$3:$AD$77,COLUMN('Costdrivere 2025'!$AD$2),FALSE))</f>
        <v>10232153.477237742</v>
      </c>
      <c r="Y67" s="8">
        <v>826157.51</v>
      </c>
      <c r="Z67" s="8">
        <v>2444273.5150000001</v>
      </c>
      <c r="AA67" s="8">
        <v>182023.55</v>
      </c>
      <c r="AB67" s="8">
        <v>2597586.125</v>
      </c>
      <c r="AC67" s="8">
        <v>1597841.29</v>
      </c>
      <c r="AD67" s="8">
        <v>3441721.8849999998</v>
      </c>
      <c r="AE67" s="8">
        <v>2210082.3170931488</v>
      </c>
      <c r="AF67" s="8">
        <v>10232153.477237742</v>
      </c>
      <c r="AG67" s="8">
        <f>AVERAGE(VLOOKUP(B67,'Costdrivere 2024'!$A$3:$X$77,COLUMN('Costdrivere 2024'!X:X)),VLOOKUP(B67,'Costdrivere 2025'!$A$3:$X$77,COLUMN('Costdrivere 2025'!X:X)))</f>
        <v>3162281</v>
      </c>
      <c r="AH67" s="8">
        <f>AVERAGE(VLOOKUP(B67,'Costdrivere 2024'!$A$3:$Y$77,COLUMN('Costdrivere 2024'!Y:Y)),VLOOKUP(B67,'Costdrivere 2025'!$A$3:$Y$77,COLUMN('Costdrivere 2025'!Y:Y)))</f>
        <v>1631443.5</v>
      </c>
      <c r="AI67" s="8">
        <v>3162281</v>
      </c>
      <c r="AJ67" s="8">
        <v>1631443.5</v>
      </c>
    </row>
    <row r="68" spans="1:36" x14ac:dyDescent="0.25">
      <c r="A68" s="5" t="s">
        <v>150</v>
      </c>
      <c r="B68" s="5" t="s">
        <v>69</v>
      </c>
      <c r="C68" s="6">
        <f>VLOOKUP($B68,'Netvolumenmål gns.'!$A:$S,COLUMN('Netvolumenmål gns.'!C:C),FALSE)</f>
        <v>35.4163195</v>
      </c>
      <c r="D68" s="7">
        <f>VLOOKUP($B68,'Netvolumenmål gns.'!$A:$S,COLUMN('Netvolumenmål gns.'!D:D),FALSE)</f>
        <v>3.7124236784104286E-2</v>
      </c>
      <c r="E68" s="8">
        <f>VLOOKUP($B68,'Netvolumenmål gns.'!$A:$S,COLUMN('Netvolumenmål gns.'!E:E),FALSE)</f>
        <v>6816472.7320574597</v>
      </c>
      <c r="F68" s="8">
        <f>VLOOKUP($B68,'Netvolumenmål gns.'!$A:$S,COLUMN('Netvolumenmål gns.'!F:F),FALSE)</f>
        <v>11744394.847917296</v>
      </c>
      <c r="G68" s="8">
        <f>VLOOKUP($B68,'Netvolumenmål gns.'!$A:$S,COLUMN('Netvolumenmål gns.'!P:P),FALSE)</f>
        <v>10346370.37115</v>
      </c>
      <c r="H68" s="8">
        <f>VLOOKUP($B68,'Netvolumenmål gns.'!$A:$S,COLUMN('Netvolumenmål gns.'!Q:Q),FALSE)</f>
        <v>13823749.729959056</v>
      </c>
      <c r="I68" s="8">
        <f>VLOOKUP($B68,'Netvolumenmål gns.'!$A:$S,COLUMN('Netvolumenmål gns.'!R:R),FALSE)</f>
        <v>24170120.101109054</v>
      </c>
      <c r="J68" s="6">
        <v>35.4163195</v>
      </c>
      <c r="K68" s="7">
        <v>3.7124236784104286E-2</v>
      </c>
      <c r="L68" s="8">
        <v>6816472.7320574597</v>
      </c>
      <c r="M68" s="8">
        <v>11744394.847917296</v>
      </c>
      <c r="N68" s="8">
        <v>10346370.37115</v>
      </c>
      <c r="O68" s="8">
        <v>13823749.729959056</v>
      </c>
      <c r="P68" s="8">
        <v>24170120.101109054</v>
      </c>
      <c r="Q68" s="8">
        <f>VLOOKUP($B68,'Costdrivere gns.'!$A:$H,COLUMN('Costdrivere gns.'!C:C),FALSE)</f>
        <v>795132.4</v>
      </c>
      <c r="R68" s="8">
        <f>VLOOKUP($B68,'Costdrivere gns.'!$A:$H,COLUMN('Costdrivere gns.'!D:D),FALSE)</f>
        <v>2713733.0049999999</v>
      </c>
      <c r="S68" s="8">
        <f>VLOOKUP($B68,'Costdrivere gns.'!$A:$H,COLUMN('Costdrivere gns.'!E:E),FALSE)</f>
        <v>303243.99</v>
      </c>
      <c r="T68" s="8">
        <f>VLOOKUP($B68,'Costdrivere gns.'!$A:$H,COLUMN('Costdrivere gns.'!F:F),FALSE)</f>
        <v>2001782.75</v>
      </c>
      <c r="U68" s="8">
        <f>VLOOKUP($B68,'Costdrivere gns.'!$A:$H,COLUMN('Costdrivere gns.'!G:G),FALSE)</f>
        <v>1002580.585</v>
      </c>
      <c r="V68" s="8">
        <f>VLOOKUP(B68,'Costdrivere gns.'!$A$3:$H$77,COLUMN('Costdrivere gns.'!$H$2))</f>
        <v>1794270.86</v>
      </c>
      <c r="W68" s="8">
        <f>AVERAGE(VLOOKUP(B68,'Costdrivere 2024'!$A$3:$AC$77,COLUMN('Costdrivere 2024'!$AC$2),FALSE),VLOOKUP(B68,'Costdrivere 2025'!$A$3:$AC$77,COLUMN('Costdrivere 2025'!$AC$2),FALSE))</f>
        <v>3447881.7917206315</v>
      </c>
      <c r="X68" s="8">
        <f>AVERAGE(VLOOKUP(B68,'Costdrivere 2024'!$A$3:$AD$77,COLUMN('Costdrivere 2024'!$AD$2),FALSE),VLOOKUP(B68,'Costdrivere 2025'!$A$3:$AD$77,COLUMN('Costdrivere 2025'!$AD$2),FALSE))</f>
        <v>7733513.0561966645</v>
      </c>
      <c r="Y68" s="8">
        <v>795132.4</v>
      </c>
      <c r="Z68" s="8">
        <v>2713733.0049999999</v>
      </c>
      <c r="AA68" s="8">
        <v>303243.99</v>
      </c>
      <c r="AB68" s="8">
        <v>2001782.75</v>
      </c>
      <c r="AC68" s="8">
        <v>1002580.585</v>
      </c>
      <c r="AD68" s="8">
        <v>1794270.86</v>
      </c>
      <c r="AE68" s="8">
        <v>3447881.7917206315</v>
      </c>
      <c r="AF68" s="8">
        <v>7733513.0561966645</v>
      </c>
      <c r="AG68" s="8">
        <f>AVERAGE(VLOOKUP(B68,'Costdrivere 2024'!$A$3:$X$77,COLUMN('Costdrivere 2024'!X:X)),VLOOKUP(B68,'Costdrivere 2025'!$A$3:$X$77,COLUMN('Costdrivere 2025'!X:X)))</f>
        <v>1584282</v>
      </c>
      <c r="AH68" s="8">
        <f>AVERAGE(VLOOKUP(B68,'Costdrivere 2024'!$A$3:$Y$77,COLUMN('Costdrivere 2024'!Y:Y)),VLOOKUP(B68,'Costdrivere 2025'!$A$3:$Y$77,COLUMN('Costdrivere 2025'!Y:Y)))</f>
        <v>1651408.5</v>
      </c>
      <c r="AI68" s="8">
        <v>1584282</v>
      </c>
      <c r="AJ68" s="8">
        <v>1651408.5</v>
      </c>
    </row>
    <row r="69" spans="1:36" x14ac:dyDescent="0.25">
      <c r="A69" s="5" t="s">
        <v>205</v>
      </c>
      <c r="B69" s="5" t="s">
        <v>70</v>
      </c>
      <c r="C69" s="6">
        <f>VLOOKUP($B69,'Netvolumenmål gns.'!$A:$S,COLUMN('Netvolumenmål gns.'!C:C),FALSE)</f>
        <v>33.871170500000005</v>
      </c>
      <c r="D69" s="7">
        <f>VLOOKUP($B69,'Netvolumenmål gns.'!$A:$S,COLUMN('Netvolumenmål gns.'!D:D),FALSE)</f>
        <v>0.10990872406968347</v>
      </c>
      <c r="E69" s="8">
        <f>VLOOKUP($B69,'Netvolumenmål gns.'!$A:$S,COLUMN('Netvolumenmål gns.'!E:E),FALSE)</f>
        <v>41805722.072208479</v>
      </c>
      <c r="F69" s="8">
        <f>VLOOKUP($B69,'Netvolumenmål gns.'!$A:$S,COLUMN('Netvolumenmål gns.'!F:F),FALSE)</f>
        <v>58606234.467057914</v>
      </c>
      <c r="G69" s="8">
        <f>VLOOKUP($B69,'Netvolumenmål gns.'!$A:$S,COLUMN('Netvolumenmål gns.'!P:P),FALSE)</f>
        <v>54701996.843899995</v>
      </c>
      <c r="H69" s="8">
        <f>VLOOKUP($B69,'Netvolumenmål gns.'!$A:$S,COLUMN('Netvolumenmål gns.'!Q:Q),FALSE)</f>
        <v>65313031.570407063</v>
      </c>
      <c r="I69" s="8">
        <f>VLOOKUP($B69,'Netvolumenmål gns.'!$A:$S,COLUMN('Netvolumenmål gns.'!R:R),FALSE)</f>
        <v>120015028.41430706</v>
      </c>
      <c r="J69" s="6">
        <v>33.871170500000005</v>
      </c>
      <c r="K69" s="7">
        <v>0.10990872406968347</v>
      </c>
      <c r="L69" s="8">
        <v>41805722.072208479</v>
      </c>
      <c r="M69" s="8">
        <v>58606234.467057914</v>
      </c>
      <c r="N69" s="8">
        <v>54701996.843899995</v>
      </c>
      <c r="O69" s="8">
        <v>65313031.570407063</v>
      </c>
      <c r="P69" s="8">
        <v>120015028.41430706</v>
      </c>
      <c r="Q69" s="8">
        <f>VLOOKUP($B69,'Costdrivere gns.'!$A:$H,COLUMN('Costdrivere gns.'!C:C),FALSE)</f>
        <v>4169877.39</v>
      </c>
      <c r="R69" s="8">
        <f>VLOOKUP($B69,'Costdrivere gns.'!$A:$H,COLUMN('Costdrivere gns.'!D:D),FALSE)</f>
        <v>18950517.135000002</v>
      </c>
      <c r="S69" s="8">
        <f>VLOOKUP($B69,'Costdrivere gns.'!$A:$H,COLUMN('Costdrivere gns.'!E:E),FALSE)</f>
        <v>984285.19</v>
      </c>
      <c r="T69" s="8">
        <f>VLOOKUP($B69,'Costdrivere gns.'!$A:$H,COLUMN('Costdrivere gns.'!F:F),FALSE)</f>
        <v>11608284.23</v>
      </c>
      <c r="U69" s="8">
        <f>VLOOKUP($B69,'Costdrivere gns.'!$A:$H,COLUMN('Costdrivere gns.'!G:G),FALSE)</f>
        <v>6092758.1200000001</v>
      </c>
      <c r="V69" s="8">
        <f>VLOOKUP(B69,'Costdrivere gns.'!$A$3:$H$77,COLUMN('Costdrivere gns.'!$H$2))</f>
        <v>9100233.625</v>
      </c>
      <c r="W69" s="8">
        <f>AVERAGE(VLOOKUP(B69,'Costdrivere 2024'!$A$3:$AC$77,COLUMN('Costdrivere 2024'!$AC$2),FALSE),VLOOKUP(B69,'Costdrivere 2025'!$A$3:$AC$77,COLUMN('Costdrivere 2025'!$AC$2),FALSE))</f>
        <v>13522672.936918635</v>
      </c>
      <c r="X69" s="8">
        <f>AVERAGE(VLOOKUP(B69,'Costdrivere 2024'!$A$3:$AD$77,COLUMN('Costdrivere 2024'!$AD$2),FALSE),VLOOKUP(B69,'Costdrivere 2025'!$A$3:$AD$77,COLUMN('Costdrivere 2025'!$AD$2),FALSE))</f>
        <v>42453284.847776264</v>
      </c>
      <c r="Y69" s="8">
        <v>4169877.39</v>
      </c>
      <c r="Z69" s="8">
        <v>18950517.135000002</v>
      </c>
      <c r="AA69" s="8">
        <v>984285.19</v>
      </c>
      <c r="AB69" s="8">
        <v>11608284.23</v>
      </c>
      <c r="AC69" s="8">
        <v>6092758.1200000001</v>
      </c>
      <c r="AD69" s="8">
        <v>9100233.625</v>
      </c>
      <c r="AE69" s="8">
        <v>13522672.936918635</v>
      </c>
      <c r="AF69" s="8">
        <v>42453284.847776264</v>
      </c>
      <c r="AG69" s="8">
        <f>AVERAGE(VLOOKUP(B69,'Costdrivere 2024'!$A$3:$X$77,COLUMN('Costdrivere 2024'!X:X)),VLOOKUP(B69,'Costdrivere 2025'!$A$3:$X$77,COLUMN('Costdrivere 2025'!X:X)))</f>
        <v>9340881.5</v>
      </c>
      <c r="AH69" s="8">
        <f>AVERAGE(VLOOKUP(B69,'Costdrivere 2024'!$A$3:$Y$77,COLUMN('Costdrivere 2024'!Y:Y)),VLOOKUP(B69,'Costdrivere 2025'!$A$3:$Y$77,COLUMN('Costdrivere 2025'!Y:Y)))</f>
        <v>9916760</v>
      </c>
      <c r="AI69" s="8">
        <v>9340881.5</v>
      </c>
      <c r="AJ69" s="8">
        <v>9916760</v>
      </c>
    </row>
    <row r="70" spans="1:36" x14ac:dyDescent="0.25">
      <c r="A70" s="5" t="s">
        <v>71</v>
      </c>
      <c r="B70" s="5" t="s">
        <v>72</v>
      </c>
      <c r="C70" s="6">
        <f>VLOOKUP($B70,'Netvolumenmål gns.'!$A:$S,COLUMN('Netvolumenmål gns.'!C:C),FALSE)</f>
        <v>18.903362999999999</v>
      </c>
      <c r="D70" s="7">
        <f>VLOOKUP($B70,'Netvolumenmål gns.'!$A:$S,COLUMN('Netvolumenmål gns.'!D:D),FALSE)</f>
        <v>0</v>
      </c>
      <c r="E70" s="8">
        <f>VLOOKUP($B70,'Netvolumenmål gns.'!$A:$S,COLUMN('Netvolumenmål gns.'!E:E),FALSE)</f>
        <v>346540.88500000007</v>
      </c>
      <c r="F70" s="8">
        <f>VLOOKUP($B70,'Netvolumenmål gns.'!$A:$S,COLUMN('Netvolumenmål gns.'!F:F),FALSE)</f>
        <v>971895.88192669954</v>
      </c>
      <c r="G70" s="8">
        <f>VLOOKUP($B70,'Netvolumenmål gns.'!$A:$S,COLUMN('Netvolumenmål gns.'!P:P),FALSE)</f>
        <v>932371.70279999997</v>
      </c>
      <c r="H70" s="8">
        <f>VLOOKUP($B70,'Netvolumenmål gns.'!$A:$S,COLUMN('Netvolumenmål gns.'!Q:Q),FALSE)</f>
        <v>1116647.9284961498</v>
      </c>
      <c r="I70" s="8">
        <f>VLOOKUP($B70,'Netvolumenmål gns.'!$A:$S,COLUMN('Netvolumenmål gns.'!R:R),FALSE)</f>
        <v>2049019.6312961497</v>
      </c>
      <c r="J70" s="6">
        <v>18.903362999999999</v>
      </c>
      <c r="K70" s="7">
        <v>0</v>
      </c>
      <c r="L70" s="8">
        <v>346540.88500000007</v>
      </c>
      <c r="M70" s="8">
        <v>971895.88192669954</v>
      </c>
      <c r="N70" s="8">
        <v>932371.70279999997</v>
      </c>
      <c r="O70" s="8">
        <v>1116647.9284961498</v>
      </c>
      <c r="P70" s="8">
        <v>2049019.6312961497</v>
      </c>
      <c r="Q70" s="8">
        <f>VLOOKUP($B70,'Costdrivere gns.'!$A:$H,COLUMN('Costdrivere gns.'!C:C),FALSE)</f>
        <v>0</v>
      </c>
      <c r="R70" s="8">
        <f>VLOOKUP($B70,'Costdrivere gns.'!$A:$H,COLUMN('Costdrivere gns.'!D:D),FALSE)</f>
        <v>0</v>
      </c>
      <c r="S70" s="8">
        <f>VLOOKUP($B70,'Costdrivere gns.'!$A:$H,COLUMN('Costdrivere gns.'!E:E),FALSE)</f>
        <v>343746.55</v>
      </c>
      <c r="T70" s="8">
        <f>VLOOKUP($B70,'Costdrivere gns.'!$A:$H,COLUMN('Costdrivere gns.'!F:F),FALSE)</f>
        <v>2484.4</v>
      </c>
      <c r="U70" s="8">
        <f>VLOOKUP($B70,'Costdrivere gns.'!$A:$H,COLUMN('Costdrivere gns.'!G:G),FALSE)</f>
        <v>309.94</v>
      </c>
      <c r="V70" s="8">
        <f>VLOOKUP(B70,'Costdrivere gns.'!$A$3:$H$77,COLUMN('Costdrivere gns.'!$H$2))</f>
        <v>1638151.105</v>
      </c>
      <c r="W70" s="8">
        <f>AVERAGE(VLOOKUP(B70,'Costdrivere 2024'!$A$3:$AC$77,COLUMN('Costdrivere 2024'!$AC$2),FALSE),VLOOKUP(B70,'Costdrivere 2025'!$A$3:$AC$77,COLUMN('Costdrivere 2025'!$AC$2),FALSE))</f>
        <v>0</v>
      </c>
      <c r="X70" s="8">
        <f>AVERAGE(VLOOKUP(B70,'Costdrivere 2024'!$A$3:$AD$77,COLUMN('Costdrivere 2024'!$AD$2),FALSE),VLOOKUP(B70,'Costdrivere 2025'!$A$3:$AD$77,COLUMN('Costdrivere 2025'!$AD$2),FALSE))</f>
        <v>921895.88192669954</v>
      </c>
      <c r="Y70" s="8">
        <v>0</v>
      </c>
      <c r="Z70" s="8">
        <v>0</v>
      </c>
      <c r="AA70" s="8">
        <v>343746.55</v>
      </c>
      <c r="AB70" s="8">
        <v>2484.4</v>
      </c>
      <c r="AC70" s="8">
        <v>309.94</v>
      </c>
      <c r="AD70" s="8">
        <v>1638151.105</v>
      </c>
      <c r="AE70" s="8">
        <v>0</v>
      </c>
      <c r="AF70" s="8">
        <v>921895.88192669954</v>
      </c>
      <c r="AG70" s="8">
        <f>AVERAGE(VLOOKUP(B70,'Costdrivere 2024'!$A$3:$X$77,COLUMN('Costdrivere 2024'!X:X)),VLOOKUP(B70,'Costdrivere 2025'!$A$3:$X$77,COLUMN('Costdrivere 2025'!X:X)))</f>
        <v>1383436</v>
      </c>
      <c r="AH70" s="8">
        <f>AVERAGE(VLOOKUP(B70,'Costdrivere 2024'!$A$3:$Y$77,COLUMN('Costdrivere 2024'!Y:Y)),VLOOKUP(B70,'Costdrivere 2025'!$A$3:$Y$77,COLUMN('Costdrivere 2025'!Y:Y)))</f>
        <v>0</v>
      </c>
      <c r="AI70" s="8">
        <v>1383436</v>
      </c>
      <c r="AJ70" s="8">
        <v>0</v>
      </c>
    </row>
    <row r="71" spans="1:36" x14ac:dyDescent="0.25">
      <c r="A71" s="5" t="s">
        <v>206</v>
      </c>
      <c r="B71" s="5" t="s">
        <v>73</v>
      </c>
      <c r="C71" s="6">
        <f>VLOOKUP($B71,'Netvolumenmål gns.'!$A:$S,COLUMN('Netvolumenmål gns.'!C:C),FALSE)</f>
        <v>33.746184</v>
      </c>
      <c r="D71" s="7">
        <f>VLOOKUP($B71,'Netvolumenmål gns.'!$A:$S,COLUMN('Netvolumenmål gns.'!D:D),FALSE)</f>
        <v>3.0791598021567307E-2</v>
      </c>
      <c r="E71" s="8">
        <f>VLOOKUP($B71,'Netvolumenmål gns.'!$A:$S,COLUMN('Netvolumenmål gns.'!E:E),FALSE)</f>
        <v>4003867.7631284138</v>
      </c>
      <c r="F71" s="8">
        <f>VLOOKUP($B71,'Netvolumenmål gns.'!$A:$S,COLUMN('Netvolumenmål gns.'!F:F),FALSE)</f>
        <v>7735945.1825226061</v>
      </c>
      <c r="G71" s="8">
        <f>VLOOKUP($B71,'Netvolumenmål gns.'!$A:$S,COLUMN('Netvolumenmål gns.'!P:P),FALSE)</f>
        <v>5121321.2075500004</v>
      </c>
      <c r="H71" s="8">
        <f>VLOOKUP($B71,'Netvolumenmål gns.'!$A:$S,COLUMN('Netvolumenmål gns.'!Q:Q),FALSE)</f>
        <v>7319139.4460078534</v>
      </c>
      <c r="I71" s="8">
        <f>VLOOKUP($B71,'Netvolumenmål gns.'!$A:$S,COLUMN('Netvolumenmål gns.'!R:R),FALSE)</f>
        <v>12440460.653557852</v>
      </c>
      <c r="J71" s="6">
        <v>33.746184</v>
      </c>
      <c r="K71" s="7">
        <v>3.0791598021567307E-2</v>
      </c>
      <c r="L71" s="8">
        <v>4003867.7631284138</v>
      </c>
      <c r="M71" s="8">
        <v>7735945.1825226061</v>
      </c>
      <c r="N71" s="8">
        <v>5172581.2075500004</v>
      </c>
      <c r="O71" s="8">
        <v>7319139.4460078534</v>
      </c>
      <c r="P71" s="8">
        <v>12491720.653557852</v>
      </c>
      <c r="Q71" s="8">
        <f>VLOOKUP($B71,'Costdrivere gns.'!$A:$H,COLUMN('Costdrivere gns.'!C:C),FALSE)</f>
        <v>527689.39</v>
      </c>
      <c r="R71" s="8">
        <f>VLOOKUP($B71,'Costdrivere gns.'!$A:$H,COLUMN('Costdrivere gns.'!D:D),FALSE)</f>
        <v>1843773.9450000001</v>
      </c>
      <c r="S71" s="8">
        <f>VLOOKUP($B71,'Costdrivere gns.'!$A:$H,COLUMN('Costdrivere gns.'!E:E),FALSE)</f>
        <v>125998.75</v>
      </c>
      <c r="T71" s="8">
        <f>VLOOKUP($B71,'Costdrivere gns.'!$A:$H,COLUMN('Costdrivere gns.'!F:F),FALSE)</f>
        <v>792701.85499999998</v>
      </c>
      <c r="U71" s="8">
        <f>VLOOKUP($B71,'Costdrivere gns.'!$A:$H,COLUMN('Costdrivere gns.'!G:G),FALSE)</f>
        <v>713703.82</v>
      </c>
      <c r="V71" s="8">
        <f>VLOOKUP(B71,'Costdrivere gns.'!$A$3:$H$77,COLUMN('Costdrivere gns.'!$H$2))</f>
        <v>1211840.325</v>
      </c>
      <c r="W71" s="8">
        <f>AVERAGE(VLOOKUP(B71,'Costdrivere 2024'!$A$3:$AC$77,COLUMN('Costdrivere 2024'!$AC$2),FALSE),VLOOKUP(B71,'Costdrivere 2025'!$A$3:$AC$77,COLUMN('Costdrivere 2025'!$AC$2),FALSE))</f>
        <v>2317555.4109371426</v>
      </c>
      <c r="X71" s="8">
        <f>AVERAGE(VLOOKUP(B71,'Costdrivere 2024'!$A$3:$AD$77,COLUMN('Costdrivere 2024'!$AD$2),FALSE),VLOOKUP(B71,'Costdrivere 2025'!$A$3:$AD$77,COLUMN('Costdrivere 2025'!$AD$2),FALSE))</f>
        <v>4970389.7715854645</v>
      </c>
      <c r="Y71" s="8">
        <v>527689.39</v>
      </c>
      <c r="Z71" s="8">
        <v>1843773.9450000001</v>
      </c>
      <c r="AA71" s="8">
        <v>125998.75</v>
      </c>
      <c r="AB71" s="8">
        <v>792701.85499999998</v>
      </c>
      <c r="AC71" s="8">
        <v>713703.82</v>
      </c>
      <c r="AD71" s="8">
        <v>1211840.325</v>
      </c>
      <c r="AE71" s="8">
        <v>2317555.4109371426</v>
      </c>
      <c r="AF71" s="8">
        <v>4970389.7715854645</v>
      </c>
      <c r="AG71" s="8">
        <f>AVERAGE(VLOOKUP(B71,'Costdrivere 2024'!$A$3:$X$77,COLUMN('Costdrivere 2024'!X:X)),VLOOKUP(B71,'Costdrivere 2025'!$A$3:$X$77,COLUMN('Costdrivere 2025'!X:X)))</f>
        <v>988997</v>
      </c>
      <c r="AH71" s="8">
        <f>AVERAGE(VLOOKUP(B71,'Costdrivere 2024'!$A$3:$Y$77,COLUMN('Costdrivere 2024'!Y:Y)),VLOOKUP(B71,'Costdrivere 2025'!$A$3:$Y$77,COLUMN('Costdrivere 2025'!Y:Y)))</f>
        <v>1042642</v>
      </c>
      <c r="AI71" s="8">
        <v>988997</v>
      </c>
      <c r="AJ71" s="8">
        <v>1042642</v>
      </c>
    </row>
    <row r="72" spans="1:36" x14ac:dyDescent="0.25">
      <c r="A72" s="5" t="s">
        <v>151</v>
      </c>
      <c r="B72" s="5" t="s">
        <v>74</v>
      </c>
      <c r="C72" s="6">
        <f>VLOOKUP($B72,'Netvolumenmål gns.'!$A:$S,COLUMN('Netvolumenmål gns.'!C:C),FALSE)</f>
        <v>35.907361999999999</v>
      </c>
      <c r="D72" s="7">
        <f>VLOOKUP($B72,'Netvolumenmål gns.'!$A:$S,COLUMN('Netvolumenmål gns.'!D:D),FALSE)</f>
        <v>0.1478092439552372</v>
      </c>
      <c r="E72" s="8">
        <f>VLOOKUP($B72,'Netvolumenmål gns.'!$A:$S,COLUMN('Netvolumenmål gns.'!E:E),FALSE)</f>
        <v>10232347.714299157</v>
      </c>
      <c r="F72" s="8">
        <f>VLOOKUP($B72,'Netvolumenmål gns.'!$A:$S,COLUMN('Netvolumenmål gns.'!F:F),FALSE)</f>
        <v>15119755.826431045</v>
      </c>
      <c r="G72" s="8">
        <f>VLOOKUP($B72,'Netvolumenmål gns.'!$A:$S,COLUMN('Netvolumenmål gns.'!P:P),FALSE)</f>
        <v>18272370.233750001</v>
      </c>
      <c r="H72" s="8">
        <f>VLOOKUP($B72,'Netvolumenmål gns.'!$A:$S,COLUMN('Netvolumenmål gns.'!Q:Q),FALSE)</f>
        <v>19828128.543883145</v>
      </c>
      <c r="I72" s="8">
        <f>VLOOKUP($B72,'Netvolumenmål gns.'!$A:$S,COLUMN('Netvolumenmål gns.'!R:R),FALSE)</f>
        <v>38100498.777633145</v>
      </c>
      <c r="J72" s="6">
        <v>35.907361999999999</v>
      </c>
      <c r="K72" s="7">
        <v>0.1478092439552372</v>
      </c>
      <c r="L72" s="8">
        <v>10232347.714299157</v>
      </c>
      <c r="M72" s="8">
        <v>15119755.826431045</v>
      </c>
      <c r="N72" s="8">
        <v>18272370.233750001</v>
      </c>
      <c r="O72" s="8">
        <v>19828128.543883145</v>
      </c>
      <c r="P72" s="8">
        <v>38100498.777633145</v>
      </c>
      <c r="Q72" s="8">
        <f>VLOOKUP($B72,'Costdrivere gns.'!$A:$H,COLUMN('Costdrivere gns.'!C:C),FALSE)</f>
        <v>1135150.1100000001</v>
      </c>
      <c r="R72" s="8">
        <f>VLOOKUP($B72,'Costdrivere gns.'!$A:$H,COLUMN('Costdrivere gns.'!D:D),FALSE)</f>
        <v>3275995.2850000001</v>
      </c>
      <c r="S72" s="8">
        <f>VLOOKUP($B72,'Costdrivere gns.'!$A:$H,COLUMN('Costdrivere gns.'!E:E),FALSE)</f>
        <v>474139.17</v>
      </c>
      <c r="T72" s="8">
        <f>VLOOKUP($B72,'Costdrivere gns.'!$A:$H,COLUMN('Costdrivere gns.'!F:F),FALSE)</f>
        <v>3628554.3</v>
      </c>
      <c r="U72" s="8">
        <f>VLOOKUP($B72,'Costdrivere gns.'!$A:$H,COLUMN('Costdrivere gns.'!G:G),FALSE)</f>
        <v>1718508.855</v>
      </c>
      <c r="V72" s="8">
        <f>VLOOKUP(B72,'Costdrivere gns.'!$A$3:$H$77,COLUMN('Costdrivere gns.'!$H$2))</f>
        <v>2600392.2599999998</v>
      </c>
      <c r="W72" s="8">
        <f>AVERAGE(VLOOKUP(B72,'Costdrivere 2024'!$A$3:$AC$77,COLUMN('Costdrivere 2024'!$AC$2),FALSE),VLOOKUP(B72,'Costdrivere 2025'!$A$3:$AC$77,COLUMN('Costdrivere 2025'!$AC$2),FALSE))</f>
        <v>2843798.1765743289</v>
      </c>
      <c r="X72" s="8">
        <f>AVERAGE(VLOOKUP(B72,'Costdrivere 2024'!$A$3:$AD$77,COLUMN('Costdrivere 2024'!$AD$2),FALSE),VLOOKUP(B72,'Costdrivere 2025'!$A$3:$AD$77,COLUMN('Costdrivere 2025'!$AD$2),FALSE))</f>
        <v>11940151.811568335</v>
      </c>
      <c r="Y72" s="8">
        <v>1135150.1100000001</v>
      </c>
      <c r="Z72" s="8">
        <v>3275995.2850000001</v>
      </c>
      <c r="AA72" s="8">
        <v>474139.17</v>
      </c>
      <c r="AB72" s="8">
        <v>3628554.3</v>
      </c>
      <c r="AC72" s="8">
        <v>1718508.855</v>
      </c>
      <c r="AD72" s="8">
        <v>2600392.2599999998</v>
      </c>
      <c r="AE72" s="8">
        <v>2843798.1765743289</v>
      </c>
      <c r="AF72" s="8">
        <v>11940151.811568335</v>
      </c>
      <c r="AG72" s="8">
        <f>AVERAGE(VLOOKUP(B72,'Costdrivere 2024'!$A$3:$X$77,COLUMN('Costdrivere 2024'!X:X)),VLOOKUP(B72,'Costdrivere 2025'!$A$3:$X$77,COLUMN('Costdrivere 2025'!X:X)))</f>
        <v>2314375.5</v>
      </c>
      <c r="AH72" s="8">
        <f>AVERAGE(VLOOKUP(B72,'Costdrivere 2024'!$A$3:$Y$77,COLUMN('Costdrivere 2024'!Y:Y)),VLOOKUP(B72,'Costdrivere 2025'!$A$3:$Y$77,COLUMN('Costdrivere 2025'!Y:Y)))</f>
        <v>2422503.5</v>
      </c>
      <c r="AI72" s="8">
        <v>2314375.5</v>
      </c>
      <c r="AJ72" s="8">
        <v>2422503.5</v>
      </c>
    </row>
    <row r="73" spans="1:36" x14ac:dyDescent="0.25">
      <c r="A73" s="5" t="s">
        <v>207</v>
      </c>
      <c r="B73" s="5" t="s">
        <v>75</v>
      </c>
      <c r="C73" s="6">
        <f>VLOOKUP($B73,'Netvolumenmål gns.'!$A:$S,COLUMN('Netvolumenmål gns.'!C:C),FALSE)</f>
        <v>36.713533999999996</v>
      </c>
      <c r="D73" s="7">
        <f>VLOOKUP($B73,'Netvolumenmål gns.'!$A:$S,COLUMN('Netvolumenmål gns.'!D:D),FALSE)</f>
        <v>2.6472328507090657E-2</v>
      </c>
      <c r="E73" s="8">
        <f>VLOOKUP($B73,'Netvolumenmål gns.'!$A:$S,COLUMN('Netvolumenmål gns.'!E:E),FALSE)</f>
        <v>17588108.201708853</v>
      </c>
      <c r="F73" s="8">
        <f>VLOOKUP($B73,'Netvolumenmål gns.'!$A:$S,COLUMN('Netvolumenmål gns.'!F:F),FALSE)</f>
        <v>33087520.819346055</v>
      </c>
      <c r="G73" s="8">
        <f>VLOOKUP($B73,'Netvolumenmål gns.'!$A:$S,COLUMN('Netvolumenmål gns.'!P:P),FALSE)</f>
        <v>21746629.4745</v>
      </c>
      <c r="H73" s="8">
        <f>VLOOKUP($B73,'Netvolumenmål gns.'!$A:$S,COLUMN('Netvolumenmål gns.'!Q:Q),FALSE)</f>
        <v>29735010.837548673</v>
      </c>
      <c r="I73" s="8">
        <f>VLOOKUP($B73,'Netvolumenmål gns.'!$A:$S,COLUMN('Netvolumenmål gns.'!R:R),FALSE)</f>
        <v>51481640.312048674</v>
      </c>
      <c r="J73" s="6">
        <v>36.713533999999996</v>
      </c>
      <c r="K73" s="7">
        <v>2.6472328507090657E-2</v>
      </c>
      <c r="L73" s="8">
        <v>17588108.201708853</v>
      </c>
      <c r="M73" s="8">
        <v>33087520.819346055</v>
      </c>
      <c r="N73" s="8">
        <v>21746629.4745</v>
      </c>
      <c r="O73" s="8">
        <v>29735010.837548673</v>
      </c>
      <c r="P73" s="8">
        <v>51481640.312048674</v>
      </c>
      <c r="Q73" s="8">
        <f>VLOOKUP($B73,'Costdrivere gns.'!$A:$H,COLUMN('Costdrivere gns.'!C:C),FALSE)</f>
        <v>1677916.9350000001</v>
      </c>
      <c r="R73" s="8">
        <f>VLOOKUP($B73,'Costdrivere gns.'!$A:$H,COLUMN('Costdrivere gns.'!D:D),FALSE)</f>
        <v>7364442.3399999999</v>
      </c>
      <c r="S73" s="8">
        <f>VLOOKUP($B73,'Costdrivere gns.'!$A:$H,COLUMN('Costdrivere gns.'!E:E),FALSE)</f>
        <v>513048.51</v>
      </c>
      <c r="T73" s="8">
        <f>VLOOKUP($B73,'Costdrivere gns.'!$A:$H,COLUMN('Costdrivere gns.'!F:F),FALSE)</f>
        <v>5599097.3899999997</v>
      </c>
      <c r="U73" s="8">
        <f>VLOOKUP($B73,'Costdrivere gns.'!$A:$H,COLUMN('Costdrivere gns.'!G:G),FALSE)</f>
        <v>2433603.0249999999</v>
      </c>
      <c r="V73" s="8">
        <f>VLOOKUP(B73,'Costdrivere gns.'!$A$3:$H$77,COLUMN('Costdrivere gns.'!$H$2))</f>
        <v>3596030.08</v>
      </c>
      <c r="W73" s="8">
        <f>AVERAGE(VLOOKUP(B73,'Costdrivere 2024'!$A$3:$AC$77,COLUMN('Costdrivere 2024'!$AC$2),FALSE),VLOOKUP(B73,'Costdrivere 2025'!$A$3:$AC$77,COLUMN('Costdrivere 2025'!$AC$2),FALSE))</f>
        <v>7560077.9948743936</v>
      </c>
      <c r="X73" s="8">
        <f>AVERAGE(VLOOKUP(B73,'Costdrivere 2024'!$A$3:$AD$77,COLUMN('Costdrivere 2024'!$AD$2),FALSE),VLOOKUP(B73,'Costdrivere 2025'!$A$3:$AD$77,COLUMN('Costdrivere 2025'!$AD$2),FALSE))</f>
        <v>23393442.824471664</v>
      </c>
      <c r="Y73" s="8">
        <v>1677916.9350000001</v>
      </c>
      <c r="Z73" s="8">
        <v>7364442.3399999999</v>
      </c>
      <c r="AA73" s="8">
        <v>513048.51</v>
      </c>
      <c r="AB73" s="8">
        <v>5599097.3899999997</v>
      </c>
      <c r="AC73" s="8">
        <v>2433603.0249999999</v>
      </c>
      <c r="AD73" s="8">
        <v>3596030.08</v>
      </c>
      <c r="AE73" s="8">
        <v>7560077.9948743936</v>
      </c>
      <c r="AF73" s="8">
        <v>23393442.824471664</v>
      </c>
      <c r="AG73" s="8">
        <f>AVERAGE(VLOOKUP(B73,'Costdrivere 2024'!$A$3:$X$77,COLUMN('Costdrivere 2024'!X:X)),VLOOKUP(B73,'Costdrivere 2025'!$A$3:$X$77,COLUMN('Costdrivere 2025'!X:X)))</f>
        <v>3320000</v>
      </c>
      <c r="AH73" s="8">
        <f>AVERAGE(VLOOKUP(B73,'Costdrivere 2024'!$A$3:$Y$77,COLUMN('Costdrivere 2024'!Y:Y)),VLOOKUP(B73,'Costdrivere 2025'!$A$3:$Y$77,COLUMN('Costdrivere 2025'!Y:Y)))</f>
        <v>3703515.5</v>
      </c>
      <c r="AI73" s="8">
        <v>3320000</v>
      </c>
      <c r="AJ73" s="8">
        <v>3703515.5</v>
      </c>
    </row>
    <row r="74" spans="1:36" x14ac:dyDescent="0.25">
      <c r="A74" s="5" t="s">
        <v>208</v>
      </c>
      <c r="B74" s="5" t="s">
        <v>76</v>
      </c>
      <c r="C74" s="6">
        <f>VLOOKUP($B74,'Netvolumenmål gns.'!$A:$S,COLUMN('Netvolumenmål gns.'!C:C),FALSE)</f>
        <v>37.789555500000006</v>
      </c>
      <c r="D74" s="7">
        <f>VLOOKUP($B74,'Netvolumenmål gns.'!$A:$S,COLUMN('Netvolumenmål gns.'!D:D),FALSE)</f>
        <v>3.8284459569943433E-2</v>
      </c>
      <c r="E74" s="8">
        <f>VLOOKUP($B74,'Netvolumenmål gns.'!$A:$S,COLUMN('Netvolumenmål gns.'!E:E),FALSE)</f>
        <v>5983867.4089859677</v>
      </c>
      <c r="F74" s="8">
        <f>VLOOKUP($B74,'Netvolumenmål gns.'!$A:$S,COLUMN('Netvolumenmål gns.'!F:F),FALSE)</f>
        <v>15242982.305676315</v>
      </c>
      <c r="G74" s="8">
        <f>VLOOKUP($B74,'Netvolumenmål gns.'!$A:$S,COLUMN('Netvolumenmål gns.'!P:P),FALSE)</f>
        <v>13678443.649350001</v>
      </c>
      <c r="H74" s="8">
        <f>VLOOKUP($B74,'Netvolumenmål gns.'!$A:$S,COLUMN('Netvolumenmål gns.'!Q:Q),FALSE)</f>
        <v>11990334.62490548</v>
      </c>
      <c r="I74" s="8">
        <f>VLOOKUP($B74,'Netvolumenmål gns.'!$A:$S,COLUMN('Netvolumenmål gns.'!R:R),FALSE)</f>
        <v>25668778.274255481</v>
      </c>
      <c r="J74" s="6">
        <v>37.789555500000006</v>
      </c>
      <c r="K74" s="7">
        <v>3.8284459569943433E-2</v>
      </c>
      <c r="L74" s="8">
        <v>5983867.4089859677</v>
      </c>
      <c r="M74" s="8">
        <v>15242982.305676315</v>
      </c>
      <c r="N74" s="8">
        <v>13678443.649350001</v>
      </c>
      <c r="O74" s="8">
        <v>11990334.62490548</v>
      </c>
      <c r="P74" s="8">
        <v>25668778.274255481</v>
      </c>
      <c r="Q74" s="8">
        <f>VLOOKUP($B74,'Costdrivere gns.'!$A:$H,COLUMN('Costdrivere gns.'!C:C),FALSE)</f>
        <v>606897.38500000001</v>
      </c>
      <c r="R74" s="8">
        <f>VLOOKUP($B74,'Costdrivere gns.'!$A:$H,COLUMN('Costdrivere gns.'!D:D),FALSE)</f>
        <v>1958693.65</v>
      </c>
      <c r="S74" s="8">
        <f>VLOOKUP($B74,'Costdrivere gns.'!$A:$H,COLUMN('Costdrivere gns.'!E:E),FALSE)</f>
        <v>289664.065</v>
      </c>
      <c r="T74" s="8">
        <f>VLOOKUP($B74,'Costdrivere gns.'!$A:$H,COLUMN('Costdrivere gns.'!F:F),FALSE)</f>
        <v>1853924.1950000001</v>
      </c>
      <c r="U74" s="8">
        <f>VLOOKUP($B74,'Costdrivere gns.'!$A:$H,COLUMN('Costdrivere gns.'!G:G),FALSE)</f>
        <v>1274688.1100000001</v>
      </c>
      <c r="V74" s="8">
        <f>VLOOKUP(B74,'Costdrivere gns.'!$A$3:$H$77,COLUMN('Costdrivere gns.'!$H$2))</f>
        <v>1294322.395</v>
      </c>
      <c r="W74" s="8">
        <f>AVERAGE(VLOOKUP(B74,'Costdrivere 2024'!$A$3:$AC$77,COLUMN('Costdrivere 2024'!$AC$2),FALSE),VLOOKUP(B74,'Costdrivere 2025'!$A$3:$AC$77,COLUMN('Costdrivere 2025'!$AC$2),FALSE))</f>
        <v>3932156.1883919113</v>
      </c>
      <c r="X74" s="8">
        <f>AVERAGE(VLOOKUP(B74,'Costdrivere 2024'!$A$3:$AD$77,COLUMN('Costdrivere 2024'!$AD$2),FALSE),VLOOKUP(B74,'Costdrivere 2025'!$A$3:$AD$77,COLUMN('Costdrivere 2025'!$AD$2),FALSE))</f>
        <v>11157826.117284404</v>
      </c>
      <c r="Y74" s="8">
        <v>606897.38500000001</v>
      </c>
      <c r="Z74" s="8">
        <v>1958693.65</v>
      </c>
      <c r="AA74" s="8">
        <v>289664.065</v>
      </c>
      <c r="AB74" s="8">
        <v>1853924.1950000001</v>
      </c>
      <c r="AC74" s="8">
        <v>1274688.1100000001</v>
      </c>
      <c r="AD74" s="8">
        <v>1294322.395</v>
      </c>
      <c r="AE74" s="8">
        <v>3932156.1883919113</v>
      </c>
      <c r="AF74" s="8">
        <v>11157826.117284404</v>
      </c>
      <c r="AG74" s="8">
        <f>AVERAGE(VLOOKUP(B74,'Costdrivere 2024'!$A$3:$X$77,COLUMN('Costdrivere 2024'!X:X)),VLOOKUP(B74,'Costdrivere 2025'!$A$3:$X$77,COLUMN('Costdrivere 2025'!X:X)))</f>
        <v>1064434.45</v>
      </c>
      <c r="AH74" s="8">
        <f>AVERAGE(VLOOKUP(B74,'Costdrivere 2024'!$A$3:$Y$77,COLUMN('Costdrivere 2024'!Y:Y)),VLOOKUP(B74,'Costdrivere 2025'!$A$3:$Y$77,COLUMN('Costdrivere 2025'!Y:Y)))</f>
        <v>1166054</v>
      </c>
      <c r="AI74" s="8">
        <v>1064434.45</v>
      </c>
      <c r="AJ74" s="8">
        <v>1166054</v>
      </c>
    </row>
    <row r="75" spans="1:36" x14ac:dyDescent="0.25">
      <c r="A75" s="5" t="s">
        <v>152</v>
      </c>
      <c r="B75" s="5" t="s">
        <v>77</v>
      </c>
      <c r="C75" s="6">
        <f>VLOOKUP($B75,'Netvolumenmål gns.'!$A:$S,COLUMN('Netvolumenmål gns.'!C:C),FALSE)</f>
        <v>32.968052999999998</v>
      </c>
      <c r="D75" s="7">
        <f>VLOOKUP($B75,'Netvolumenmål gns.'!$A:$S,COLUMN('Netvolumenmål gns.'!D:D),FALSE)</f>
        <v>0.12701833384375455</v>
      </c>
      <c r="E75" s="8">
        <f>VLOOKUP($B75,'Netvolumenmål gns.'!$A:$S,COLUMN('Netvolumenmål gns.'!E:E),FALSE)</f>
        <v>23288170.763350409</v>
      </c>
      <c r="F75" s="8">
        <f>VLOOKUP($B75,'Netvolumenmål gns.'!$A:$S,COLUMN('Netvolumenmål gns.'!F:F),FALSE)</f>
        <v>43782015.595333017</v>
      </c>
      <c r="G75" s="8">
        <f>VLOOKUP($B75,'Netvolumenmål gns.'!$A:$S,COLUMN('Netvolumenmål gns.'!P:P),FALSE)</f>
        <v>44276364.6272</v>
      </c>
      <c r="H75" s="8">
        <f>VLOOKUP($B75,'Netvolumenmål gns.'!$A:$S,COLUMN('Netvolumenmål gns.'!Q:Q),FALSE)</f>
        <v>43557152.457693502</v>
      </c>
      <c r="I75" s="8">
        <f>VLOOKUP($B75,'Netvolumenmål gns.'!$A:$S,COLUMN('Netvolumenmål gns.'!R:R),FALSE)</f>
        <v>87833517.08489351</v>
      </c>
      <c r="J75" s="6">
        <v>32.968052999999998</v>
      </c>
      <c r="K75" s="7">
        <v>0.12701833384375455</v>
      </c>
      <c r="L75" s="8">
        <v>23288170.763350409</v>
      </c>
      <c r="M75" s="8">
        <v>43782015.595333017</v>
      </c>
      <c r="N75" s="8">
        <v>44276364.6272</v>
      </c>
      <c r="O75" s="8">
        <v>43557152.457693502</v>
      </c>
      <c r="P75" s="8">
        <v>87833517.08489351</v>
      </c>
      <c r="Q75" s="8">
        <f>VLOOKUP($B75,'Costdrivere gns.'!$A:$H,COLUMN('Costdrivere gns.'!C:C),FALSE)</f>
        <v>3203929.17</v>
      </c>
      <c r="R75" s="8">
        <f>VLOOKUP($B75,'Costdrivere gns.'!$A:$H,COLUMN('Costdrivere gns.'!D:D),FALSE)</f>
        <v>8909739.2899999991</v>
      </c>
      <c r="S75" s="8">
        <f>VLOOKUP($B75,'Costdrivere gns.'!$A:$H,COLUMN('Costdrivere gns.'!E:E),FALSE)</f>
        <v>653901.35</v>
      </c>
      <c r="T75" s="8">
        <f>VLOOKUP($B75,'Costdrivere gns.'!$A:$H,COLUMN('Costdrivere gns.'!F:F),FALSE)</f>
        <v>7584727.3099999996</v>
      </c>
      <c r="U75" s="8">
        <f>VLOOKUP($B75,'Costdrivere gns.'!$A:$H,COLUMN('Costdrivere gns.'!G:G),FALSE)</f>
        <v>2935873.64</v>
      </c>
      <c r="V75" s="8">
        <f>VLOOKUP(B75,'Costdrivere gns.'!$A$3:$H$77,COLUMN('Costdrivere gns.'!$H$2))</f>
        <v>6741628.5149999997</v>
      </c>
      <c r="W75" s="8">
        <f>AVERAGE(VLOOKUP(B75,'Costdrivere 2024'!$A$3:$AC$77,COLUMN('Costdrivere 2024'!$AC$2),FALSE),VLOOKUP(B75,'Costdrivere 2025'!$A$3:$AC$77,COLUMN('Costdrivere 2025'!$AC$2),FALSE))</f>
        <v>11093757.696393015</v>
      </c>
      <c r="X75" s="8">
        <f>AVERAGE(VLOOKUP(B75,'Costdrivere 2024'!$A$3:$AD$77,COLUMN('Costdrivere 2024'!$AD$2),FALSE),VLOOKUP(B75,'Costdrivere 2025'!$A$3:$AD$77,COLUMN('Costdrivere 2025'!$AD$2),FALSE))</f>
        <v>30782257.898940004</v>
      </c>
      <c r="Y75" s="8">
        <v>3203929.17</v>
      </c>
      <c r="Z75" s="8">
        <v>8909739.2899999991</v>
      </c>
      <c r="AA75" s="8">
        <v>653901.35</v>
      </c>
      <c r="AB75" s="8">
        <v>7584727.3099999996</v>
      </c>
      <c r="AC75" s="8">
        <v>2935873.64</v>
      </c>
      <c r="AD75" s="8">
        <v>6741628.5149999997</v>
      </c>
      <c r="AE75" s="8">
        <v>11093757.696393015</v>
      </c>
      <c r="AF75" s="8">
        <v>30782257.898940004</v>
      </c>
      <c r="AG75" s="8">
        <f>AVERAGE(VLOOKUP(B75,'Costdrivere 2024'!$A$3:$X$77,COLUMN('Costdrivere 2024'!X:X)),VLOOKUP(B75,'Costdrivere 2025'!$A$3:$X$77,COLUMN('Costdrivere 2025'!X:X)))</f>
        <v>6685787.5</v>
      </c>
      <c r="AH75" s="8">
        <f>AVERAGE(VLOOKUP(B75,'Costdrivere 2024'!$A$3:$Y$77,COLUMN('Costdrivere 2024'!Y:Y)),VLOOKUP(B75,'Costdrivere 2025'!$A$3:$Y$77,COLUMN('Costdrivere 2025'!Y:Y)))</f>
        <v>6985717.5</v>
      </c>
      <c r="AI75" s="8">
        <v>6685787.5</v>
      </c>
      <c r="AJ75" s="8">
        <v>6985717.5</v>
      </c>
    </row>
    <row r="76" spans="1:36" x14ac:dyDescent="0.25">
      <c r="A76" s="5" t="s">
        <v>209</v>
      </c>
      <c r="B76" s="5" t="s">
        <v>78</v>
      </c>
      <c r="C76" s="6">
        <f>VLOOKUP($B76,'Netvolumenmål gns.'!$A:$S,COLUMN('Netvolumenmål gns.'!C:C),FALSE)</f>
        <v>32.883776999999995</v>
      </c>
      <c r="D76" s="7">
        <f>VLOOKUP($B76,'Netvolumenmål gns.'!$A:$S,COLUMN('Netvolumenmål gns.'!D:D),FALSE)</f>
        <v>0.12459808083692023</v>
      </c>
      <c r="E76" s="8">
        <f>VLOOKUP($B76,'Netvolumenmål gns.'!$A:$S,COLUMN('Netvolumenmål gns.'!E:E),FALSE)</f>
        <v>51528641.419008598</v>
      </c>
      <c r="F76" s="8">
        <f>VLOOKUP($B76,'Netvolumenmål gns.'!$A:$S,COLUMN('Netvolumenmål gns.'!F:F),FALSE)</f>
        <v>83916670.384768516</v>
      </c>
      <c r="G76" s="8">
        <f>VLOOKUP($B76,'Netvolumenmål gns.'!$A:$S,COLUMN('Netvolumenmål gns.'!P:P),FALSE)</f>
        <v>76987037.303599998</v>
      </c>
      <c r="H76" s="8">
        <f>VLOOKUP($B76,'Netvolumenmål gns.'!$A:$S,COLUMN('Netvolumenmål gns.'!Q:Q),FALSE)</f>
        <v>98810877.008207023</v>
      </c>
      <c r="I76" s="8">
        <f>VLOOKUP($B76,'Netvolumenmål gns.'!$A:$S,COLUMN('Netvolumenmål gns.'!R:R),FALSE)</f>
        <v>175797914.31180704</v>
      </c>
      <c r="J76" s="6">
        <v>32.883776999999995</v>
      </c>
      <c r="K76" s="7">
        <v>0.12459808083692023</v>
      </c>
      <c r="L76" s="8">
        <v>51528641.419008598</v>
      </c>
      <c r="M76" s="8">
        <v>83916670.384768516</v>
      </c>
      <c r="N76" s="8">
        <v>76987037.303599998</v>
      </c>
      <c r="O76" s="8">
        <v>98810877.008207023</v>
      </c>
      <c r="P76" s="8">
        <v>175797914.31180704</v>
      </c>
      <c r="Q76" s="8">
        <f>VLOOKUP($B76,'Costdrivere gns.'!$A:$H,COLUMN('Costdrivere gns.'!C:C),FALSE)</f>
        <v>6313359.9900000002</v>
      </c>
      <c r="R76" s="8">
        <f>VLOOKUP($B76,'Costdrivere gns.'!$A:$H,COLUMN('Costdrivere gns.'!D:D),FALSE)</f>
        <v>20452353.149999999</v>
      </c>
      <c r="S76" s="8">
        <f>VLOOKUP($B76,'Costdrivere gns.'!$A:$H,COLUMN('Costdrivere gns.'!E:E),FALSE)</f>
        <v>1309952.8700000001</v>
      </c>
      <c r="T76" s="8">
        <f>VLOOKUP($B76,'Costdrivere gns.'!$A:$H,COLUMN('Costdrivere gns.'!F:F),FALSE)</f>
        <v>15740122.285</v>
      </c>
      <c r="U76" s="8">
        <f>VLOOKUP($B76,'Costdrivere gns.'!$A:$H,COLUMN('Costdrivere gns.'!G:G),FALSE)</f>
        <v>7712853.125</v>
      </c>
      <c r="V76" s="8">
        <f>VLOOKUP(B76,'Costdrivere gns.'!$A$3:$H$77,COLUMN('Costdrivere gns.'!$H$2))</f>
        <v>13557774.005000001</v>
      </c>
      <c r="W76" s="8">
        <f>AVERAGE(VLOOKUP(B76,'Costdrivere 2024'!$A$3:$AC$77,COLUMN('Costdrivere 2024'!$AC$2),FALSE),VLOOKUP(B76,'Costdrivere 2025'!$A$3:$AC$77,COLUMN('Costdrivere 2025'!$AC$2),FALSE))</f>
        <v>17860279.517075494</v>
      </c>
      <c r="X76" s="8">
        <f>AVERAGE(VLOOKUP(B76,'Costdrivere 2024'!$A$3:$AD$77,COLUMN('Costdrivere 2024'!$AD$2),FALSE),VLOOKUP(B76,'Costdrivere 2025'!$A$3:$AD$77,COLUMN('Costdrivere 2025'!$AD$2),FALSE))</f>
        <v>63033390.867693022</v>
      </c>
      <c r="Y76" s="8">
        <v>6313359.9900000002</v>
      </c>
      <c r="Z76" s="8">
        <v>20452353.149999999</v>
      </c>
      <c r="AA76" s="8">
        <v>1309952.8700000001</v>
      </c>
      <c r="AB76" s="8">
        <v>15740122.285</v>
      </c>
      <c r="AC76" s="8">
        <v>7712853.125</v>
      </c>
      <c r="AD76" s="8">
        <v>13557774.005000001</v>
      </c>
      <c r="AE76" s="8">
        <v>17860279.517075494</v>
      </c>
      <c r="AF76" s="8">
        <v>63033390.867693022</v>
      </c>
      <c r="AG76" s="8">
        <f>AVERAGE(VLOOKUP(B76,'Costdrivere 2024'!$A$3:$X$77,COLUMN('Costdrivere 2024'!X:X)),VLOOKUP(B76,'Costdrivere 2025'!$A$3:$X$77,COLUMN('Costdrivere 2025'!X:X)))</f>
        <v>14539974.5</v>
      </c>
      <c r="AH76" s="8">
        <f>AVERAGE(VLOOKUP(B76,'Costdrivere 2024'!$A$3:$Y$77,COLUMN('Costdrivere 2024'!Y:Y)),VLOOKUP(B76,'Costdrivere 2025'!$A$3:$Y$77,COLUMN('Costdrivere 2025'!Y:Y)))</f>
        <v>16331605.5</v>
      </c>
      <c r="AI76" s="8">
        <v>14539974.5</v>
      </c>
      <c r="AJ76" s="8">
        <v>16331605.5</v>
      </c>
    </row>
  </sheetData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3342-159C-4756-AF1F-23E7FA5DD43C}">
  <sheetPr codeName="NøgleTal">
    <pageSetUpPr fitToPage="1"/>
  </sheetPr>
  <dimension ref="A1:C13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5703125" bestFit="1" customWidth="1"/>
    <col min="2" max="2" width="12.7109375" bestFit="1" customWidth="1"/>
    <col min="3" max="3" width="16.140625" bestFit="1" customWidth="1"/>
  </cols>
  <sheetData>
    <row r="1" spans="1:3" ht="15.75" thickBot="1" x14ac:dyDescent="0.3">
      <c r="A1" s="2" t="s">
        <v>153</v>
      </c>
      <c r="B1" s="2" t="s">
        <v>154</v>
      </c>
      <c r="C1" s="2" t="s">
        <v>155</v>
      </c>
    </row>
    <row r="2" spans="1:3" x14ac:dyDescent="0.25">
      <c r="A2" s="5" t="s">
        <v>156</v>
      </c>
      <c r="B2" s="10">
        <v>-3.8E-3</v>
      </c>
      <c r="C2" s="11">
        <v>0.99619999999999997</v>
      </c>
    </row>
    <row r="3" spans="1:3" x14ac:dyDescent="0.25">
      <c r="A3" s="5" t="s">
        <v>157</v>
      </c>
      <c r="B3" s="10">
        <v>1.2699999999999999E-2</v>
      </c>
      <c r="C3" s="11">
        <v>1.0126999999999999</v>
      </c>
    </row>
    <row r="4" spans="1:3" x14ac:dyDescent="0.25">
      <c r="A4" s="5" t="s">
        <v>158</v>
      </c>
      <c r="B4" s="10">
        <v>1.7500000000000002E-2</v>
      </c>
      <c r="C4" s="11">
        <v>1.0175000000000001</v>
      </c>
    </row>
    <row r="5" spans="1:3" x14ac:dyDescent="0.25">
      <c r="A5" s="5" t="s">
        <v>159</v>
      </c>
      <c r="B5" s="10">
        <v>1.6899999999999998E-2</v>
      </c>
      <c r="C5" s="11">
        <v>1.0168999999999999</v>
      </c>
    </row>
    <row r="6" spans="1:3" x14ac:dyDescent="0.25">
      <c r="A6" s="5" t="s">
        <v>160</v>
      </c>
      <c r="B6" s="10">
        <v>1.9699999999999999E-2</v>
      </c>
      <c r="C6" s="11">
        <v>1.0197000000000001</v>
      </c>
    </row>
    <row r="7" spans="1:3" x14ac:dyDescent="0.25">
      <c r="A7" s="5" t="s">
        <v>161</v>
      </c>
      <c r="B7" s="10">
        <v>1.2200000000000001E-2</v>
      </c>
      <c r="C7" s="11">
        <v>1.0122</v>
      </c>
    </row>
    <row r="8" spans="1:3" x14ac:dyDescent="0.25">
      <c r="A8" s="5" t="s">
        <v>162</v>
      </c>
      <c r="B8" s="10">
        <v>3.3E-3</v>
      </c>
      <c r="C8" s="11">
        <v>1.0033000000000001</v>
      </c>
    </row>
    <row r="9" spans="1:3" x14ac:dyDescent="0.25">
      <c r="A9" s="5" t="s">
        <v>163</v>
      </c>
      <c r="B9" s="10">
        <v>3.56E-2</v>
      </c>
      <c r="C9" s="11">
        <v>1.0356000000000001</v>
      </c>
    </row>
    <row r="10" spans="1:3" x14ac:dyDescent="0.25">
      <c r="A10" s="5" t="s">
        <v>164</v>
      </c>
      <c r="B10" s="10">
        <v>8.0799999999999997E-2</v>
      </c>
      <c r="C10" s="11">
        <v>1.0808</v>
      </c>
    </row>
    <row r="11" spans="1:3" x14ac:dyDescent="0.25">
      <c r="A11" s="5" t="s">
        <v>165</v>
      </c>
      <c r="B11" s="10">
        <v>6.6299999999999998E-2</v>
      </c>
      <c r="C11" s="11">
        <v>1.0663</v>
      </c>
    </row>
    <row r="12" spans="1:3" x14ac:dyDescent="0.25">
      <c r="A12" s="5" t="s">
        <v>286</v>
      </c>
      <c r="B12" s="10">
        <v>2.8899999999999999E-2</v>
      </c>
      <c r="C12" s="11">
        <v>1.0288999999999999</v>
      </c>
    </row>
    <row r="13" spans="1:3" x14ac:dyDescent="0.25">
      <c r="A13" s="5" t="s">
        <v>712</v>
      </c>
      <c r="B13" s="10">
        <v>1.29E-2</v>
      </c>
      <c r="C13" s="11">
        <v>1.0128999999999999</v>
      </c>
    </row>
  </sheetData>
  <sortState xmlns:xlrd2="http://schemas.microsoft.com/office/spreadsheetml/2017/richdata2" ref="A2:C13">
    <sortCondition ref="A1"/>
  </sortState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2348-AF33-4DD5-ADB0-3D548200F7F3}">
  <sheetPr codeName="PotKrav">
    <pageSetUpPr fitToPage="1"/>
  </sheetPr>
  <dimension ref="A1:O76"/>
  <sheetViews>
    <sheetView zoomScaleNormal="100" workbookViewId="0">
      <pane ySplit="1" topLeftCell="A2" activePane="bottomLeft" state="frozen"/>
      <selection pane="bottomLeft"/>
    </sheetView>
  </sheetViews>
  <sheetFormatPr defaultColWidth="28.42578125" defaultRowHeight="15" x14ac:dyDescent="0.25"/>
  <cols>
    <col min="1" max="1" width="10.85546875" bestFit="1" customWidth="1"/>
    <col min="2" max="2" width="41.5703125" bestFit="1" customWidth="1"/>
    <col min="3" max="3" width="23.7109375" bestFit="1" customWidth="1"/>
    <col min="4" max="4" width="21.85546875" bestFit="1" customWidth="1"/>
    <col min="5" max="5" width="23.5703125" bestFit="1" customWidth="1"/>
    <col min="6" max="6" width="27.7109375" customWidth="1"/>
    <col min="7" max="7" width="18.42578125" customWidth="1"/>
    <col min="8" max="9" width="16.28515625" bestFit="1" customWidth="1"/>
    <col min="10" max="10" width="10.28515625" bestFit="1" customWidth="1"/>
    <col min="11" max="12" width="12.7109375" bestFit="1" customWidth="1"/>
    <col min="13" max="13" width="19.42578125" bestFit="1" customWidth="1"/>
    <col min="14" max="14" width="20.140625" bestFit="1" customWidth="1"/>
    <col min="15" max="15" width="19.42578125" bestFit="1" customWidth="1"/>
  </cols>
  <sheetData>
    <row r="1" spans="1:15" ht="93.75" customHeight="1" thickBot="1" x14ac:dyDescent="0.3">
      <c r="A1" s="2" t="s">
        <v>104</v>
      </c>
      <c r="B1" s="2" t="s">
        <v>0</v>
      </c>
      <c r="C1" s="2" t="s">
        <v>713</v>
      </c>
      <c r="D1" s="2" t="s">
        <v>714</v>
      </c>
      <c r="E1" s="2" t="s">
        <v>715</v>
      </c>
      <c r="F1" s="2" t="s">
        <v>716</v>
      </c>
      <c r="G1" s="2" t="s">
        <v>711</v>
      </c>
      <c r="H1" s="2" t="s">
        <v>717</v>
      </c>
      <c r="I1" s="2" t="s">
        <v>718</v>
      </c>
      <c r="J1" s="2" t="s">
        <v>261</v>
      </c>
      <c r="K1" s="2" t="s">
        <v>262</v>
      </c>
      <c r="L1" s="2" t="s">
        <v>263</v>
      </c>
      <c r="M1" s="2" t="s">
        <v>264</v>
      </c>
      <c r="N1" s="2" t="s">
        <v>719</v>
      </c>
      <c r="O1" s="2" t="s">
        <v>720</v>
      </c>
    </row>
    <row r="2" spans="1:15" x14ac:dyDescent="0.25">
      <c r="A2" s="13" t="s">
        <v>1</v>
      </c>
      <c r="B2" s="3" t="s">
        <v>127</v>
      </c>
      <c r="C2" s="4" t="s">
        <v>725</v>
      </c>
      <c r="D2" s="4" t="s">
        <v>725</v>
      </c>
      <c r="E2" s="4" t="s">
        <v>725</v>
      </c>
      <c r="F2" s="4" t="s">
        <v>725</v>
      </c>
      <c r="G2" s="14">
        <v>1</v>
      </c>
      <c r="H2" s="4" t="s">
        <v>725</v>
      </c>
      <c r="I2" s="4" t="s">
        <v>725</v>
      </c>
      <c r="J2" s="4" t="s">
        <v>725</v>
      </c>
      <c r="K2" s="15" t="s">
        <v>725</v>
      </c>
      <c r="L2" s="15" t="s">
        <v>725</v>
      </c>
      <c r="M2" s="15" t="s">
        <v>725</v>
      </c>
      <c r="N2" s="4" t="s">
        <v>725</v>
      </c>
      <c r="O2" s="4" t="s">
        <v>725</v>
      </c>
    </row>
    <row r="3" spans="1:15" x14ac:dyDescent="0.25">
      <c r="A3" s="13" t="s">
        <v>2</v>
      </c>
      <c r="B3" s="3" t="s">
        <v>166</v>
      </c>
      <c r="C3" s="4" t="s">
        <v>725</v>
      </c>
      <c r="D3" s="4" t="s">
        <v>725</v>
      </c>
      <c r="E3" s="4" t="s">
        <v>725</v>
      </c>
      <c r="F3" s="4" t="s">
        <v>725</v>
      </c>
      <c r="G3" s="14">
        <v>0.89433328672937196</v>
      </c>
      <c r="H3" s="4" t="s">
        <v>725</v>
      </c>
      <c r="I3" s="4" t="s">
        <v>725</v>
      </c>
      <c r="J3" s="4" t="s">
        <v>725</v>
      </c>
      <c r="K3" s="15" t="s">
        <v>725</v>
      </c>
      <c r="L3" s="15" t="s">
        <v>725</v>
      </c>
      <c r="M3" s="15" t="s">
        <v>725</v>
      </c>
      <c r="N3" s="4" t="s">
        <v>725</v>
      </c>
      <c r="O3" s="4" t="s">
        <v>725</v>
      </c>
    </row>
    <row r="4" spans="1:15" x14ac:dyDescent="0.25">
      <c r="A4" s="13" t="s">
        <v>3</v>
      </c>
      <c r="B4" s="3" t="s">
        <v>167</v>
      </c>
      <c r="C4" s="4" t="s">
        <v>725</v>
      </c>
      <c r="D4" s="4" t="s">
        <v>725</v>
      </c>
      <c r="E4" s="4" t="s">
        <v>725</v>
      </c>
      <c r="F4" s="4" t="s">
        <v>725</v>
      </c>
      <c r="G4" s="14">
        <v>0.696387902394762</v>
      </c>
      <c r="H4" s="4" t="s">
        <v>725</v>
      </c>
      <c r="I4" s="4" t="s">
        <v>725</v>
      </c>
      <c r="J4" s="4" t="s">
        <v>725</v>
      </c>
      <c r="K4" s="15" t="s">
        <v>725</v>
      </c>
      <c r="L4" s="15" t="s">
        <v>725</v>
      </c>
      <c r="M4" s="15" t="s">
        <v>725</v>
      </c>
      <c r="N4" s="4" t="s">
        <v>725</v>
      </c>
      <c r="O4" s="4" t="s">
        <v>725</v>
      </c>
    </row>
    <row r="5" spans="1:15" x14ac:dyDescent="0.25">
      <c r="A5" s="13" t="s">
        <v>114</v>
      </c>
      <c r="B5" s="3" t="s">
        <v>128</v>
      </c>
      <c r="C5" s="4">
        <v>6835114.8008772815</v>
      </c>
      <c r="D5" s="4">
        <f>(VLOOKUP(A5,'Netvolumenmål 2024'!A:L,12,0)*Nøgletal!$C$11+VLOOKUP(A5,'Netvolumenmål 2025'!A:L,12,0)-E5)/2+E5</f>
        <v>9329082.5276004784</v>
      </c>
      <c r="E5" s="4">
        <v>0</v>
      </c>
      <c r="F5" s="4">
        <v>0</v>
      </c>
      <c r="G5" s="14">
        <v>0.89694376188000002</v>
      </c>
      <c r="H5" s="4">
        <f t="shared" ref="H3:H66" si="0">(D5+F5)*G5</f>
        <v>8367662.3771949522</v>
      </c>
      <c r="I5" s="4">
        <f>H5*Nøgletal!$C$12</f>
        <v>8609487.8198958859</v>
      </c>
      <c r="J5" s="4">
        <f t="shared" ref="J3:J66" si="1">IF(C5&gt;I5,C5-I5,0)</f>
        <v>0</v>
      </c>
      <c r="K5" s="15">
        <f t="shared" ref="K3:K66" si="2">J5/C5</f>
        <v>0</v>
      </c>
      <c r="L5" s="15">
        <f t="shared" ref="L3:L66" si="3">K5/8</f>
        <v>0</v>
      </c>
      <c r="M5" s="15">
        <f t="shared" ref="M3:M66" si="4">MIN(L5,0.02)</f>
        <v>0</v>
      </c>
      <c r="N5" s="4">
        <f t="shared" ref="N3:N66" si="5">M5*C5</f>
        <v>0</v>
      </c>
      <c r="O5" s="4">
        <f>N5*Nøgletal!$C$13</f>
        <v>0</v>
      </c>
    </row>
    <row r="6" spans="1:15" x14ac:dyDescent="0.25">
      <c r="A6" s="13" t="s">
        <v>4</v>
      </c>
      <c r="B6" s="3" t="s">
        <v>168</v>
      </c>
      <c r="C6" s="4" t="s">
        <v>725</v>
      </c>
      <c r="D6" s="4" t="s">
        <v>725</v>
      </c>
      <c r="E6" s="4" t="s">
        <v>725</v>
      </c>
      <c r="F6" s="4" t="s">
        <v>725</v>
      </c>
      <c r="G6" s="14">
        <v>0.94155622302921105</v>
      </c>
      <c r="H6" s="4" t="s">
        <v>725</v>
      </c>
      <c r="I6" s="4" t="s">
        <v>725</v>
      </c>
      <c r="J6" s="4" t="s">
        <v>725</v>
      </c>
      <c r="K6" s="15" t="s">
        <v>725</v>
      </c>
      <c r="L6" s="15" t="s">
        <v>725</v>
      </c>
      <c r="M6" s="15" t="s">
        <v>725</v>
      </c>
      <c r="N6" s="4" t="s">
        <v>725</v>
      </c>
      <c r="O6" s="4" t="s">
        <v>725</v>
      </c>
    </row>
    <row r="7" spans="1:15" x14ac:dyDescent="0.25">
      <c r="A7" s="13" t="s">
        <v>7</v>
      </c>
      <c r="B7" s="3" t="s">
        <v>6</v>
      </c>
      <c r="C7" s="4" t="s">
        <v>725</v>
      </c>
      <c r="D7" s="4" t="s">
        <v>725</v>
      </c>
      <c r="E7" s="4" t="s">
        <v>725</v>
      </c>
      <c r="F7" s="4" t="s">
        <v>725</v>
      </c>
      <c r="G7" s="14">
        <v>0.82492385557000003</v>
      </c>
      <c r="H7" s="4" t="s">
        <v>725</v>
      </c>
      <c r="I7" s="4" t="s">
        <v>725</v>
      </c>
      <c r="J7" s="4" t="s">
        <v>725</v>
      </c>
      <c r="K7" s="15" t="s">
        <v>725</v>
      </c>
      <c r="L7" s="15" t="s">
        <v>725</v>
      </c>
      <c r="M7" s="15" t="s">
        <v>725</v>
      </c>
      <c r="N7" s="4" t="s">
        <v>725</v>
      </c>
      <c r="O7" s="4" t="s">
        <v>725</v>
      </c>
    </row>
    <row r="8" spans="1:15" x14ac:dyDescent="0.25">
      <c r="A8" s="13" t="s">
        <v>5</v>
      </c>
      <c r="B8" s="3" t="s">
        <v>169</v>
      </c>
      <c r="C8" s="4" t="s">
        <v>725</v>
      </c>
      <c r="D8" s="4" t="s">
        <v>725</v>
      </c>
      <c r="E8" s="4" t="s">
        <v>725</v>
      </c>
      <c r="F8" s="4" t="s">
        <v>725</v>
      </c>
      <c r="G8" s="14">
        <v>1</v>
      </c>
      <c r="H8" s="4" t="s">
        <v>725</v>
      </c>
      <c r="I8" s="4" t="s">
        <v>725</v>
      </c>
      <c r="J8" s="4" t="s">
        <v>725</v>
      </c>
      <c r="K8" s="15" t="s">
        <v>725</v>
      </c>
      <c r="L8" s="15" t="s">
        <v>725</v>
      </c>
      <c r="M8" s="15" t="s">
        <v>725</v>
      </c>
      <c r="N8" s="4" t="s">
        <v>725</v>
      </c>
      <c r="O8" s="4" t="s">
        <v>725</v>
      </c>
    </row>
    <row r="9" spans="1:15" x14ac:dyDescent="0.25">
      <c r="A9" s="13" t="s">
        <v>8</v>
      </c>
      <c r="B9" s="3" t="s">
        <v>170</v>
      </c>
      <c r="C9" s="4" t="s">
        <v>725</v>
      </c>
      <c r="D9" s="4" t="s">
        <v>725</v>
      </c>
      <c r="E9" s="4" t="s">
        <v>725</v>
      </c>
      <c r="F9" s="4" t="s">
        <v>725</v>
      </c>
      <c r="G9" s="14">
        <v>1</v>
      </c>
      <c r="H9" s="4" t="s">
        <v>725</v>
      </c>
      <c r="I9" s="4" t="s">
        <v>725</v>
      </c>
      <c r="J9" s="4" t="s">
        <v>725</v>
      </c>
      <c r="K9" s="15" t="s">
        <v>725</v>
      </c>
      <c r="L9" s="15" t="s">
        <v>725</v>
      </c>
      <c r="M9" s="15" t="s">
        <v>725</v>
      </c>
      <c r="N9" s="4" t="s">
        <v>725</v>
      </c>
      <c r="O9" s="4" t="s">
        <v>725</v>
      </c>
    </row>
    <row r="10" spans="1:15" x14ac:dyDescent="0.25">
      <c r="A10" s="13" t="s">
        <v>32</v>
      </c>
      <c r="B10" s="3" t="s">
        <v>113</v>
      </c>
      <c r="C10" s="4" t="s">
        <v>725</v>
      </c>
      <c r="D10" s="4" t="s">
        <v>725</v>
      </c>
      <c r="E10" s="4" t="s">
        <v>725</v>
      </c>
      <c r="F10" s="4" t="s">
        <v>725</v>
      </c>
      <c r="G10" s="14">
        <v>0.98899426087999998</v>
      </c>
      <c r="H10" s="4" t="s">
        <v>725</v>
      </c>
      <c r="I10" s="4" t="s">
        <v>725</v>
      </c>
      <c r="J10" s="4" t="s">
        <v>725</v>
      </c>
      <c r="K10" s="15" t="s">
        <v>725</v>
      </c>
      <c r="L10" s="15" t="s">
        <v>725</v>
      </c>
      <c r="M10" s="15" t="s">
        <v>725</v>
      </c>
      <c r="N10" s="4" t="s">
        <v>725</v>
      </c>
      <c r="O10" s="4" t="s">
        <v>725</v>
      </c>
    </row>
    <row r="11" spans="1:15" x14ac:dyDescent="0.25">
      <c r="A11" s="13" t="s">
        <v>53</v>
      </c>
      <c r="B11" s="3" t="s">
        <v>129</v>
      </c>
      <c r="C11" s="4" t="s">
        <v>725</v>
      </c>
      <c r="D11" s="4" t="s">
        <v>725</v>
      </c>
      <c r="E11" s="4" t="s">
        <v>725</v>
      </c>
      <c r="F11" s="4" t="s">
        <v>725</v>
      </c>
      <c r="G11" s="14">
        <v>1</v>
      </c>
      <c r="H11" s="4" t="s">
        <v>725</v>
      </c>
      <c r="I11" s="4" t="s">
        <v>725</v>
      </c>
      <c r="J11" s="4" t="s">
        <v>725</v>
      </c>
      <c r="K11" s="15" t="s">
        <v>725</v>
      </c>
      <c r="L11" s="15" t="s">
        <v>725</v>
      </c>
      <c r="M11" s="15" t="s">
        <v>725</v>
      </c>
      <c r="N11" s="4" t="s">
        <v>725</v>
      </c>
      <c r="O11" s="4" t="s">
        <v>725</v>
      </c>
    </row>
    <row r="12" spans="1:15" x14ac:dyDescent="0.25">
      <c r="A12" s="13" t="s">
        <v>9</v>
      </c>
      <c r="B12" s="3" t="s">
        <v>171</v>
      </c>
      <c r="C12" s="4" t="s">
        <v>725</v>
      </c>
      <c r="D12" s="4" t="s">
        <v>725</v>
      </c>
      <c r="E12" s="4" t="s">
        <v>725</v>
      </c>
      <c r="F12" s="4" t="s">
        <v>725</v>
      </c>
      <c r="G12" s="14">
        <v>0.79660746272000005</v>
      </c>
      <c r="H12" s="4" t="s">
        <v>725</v>
      </c>
      <c r="I12" s="4" t="s">
        <v>725</v>
      </c>
      <c r="J12" s="4" t="s">
        <v>725</v>
      </c>
      <c r="K12" s="15" t="s">
        <v>725</v>
      </c>
      <c r="L12" s="15" t="s">
        <v>725</v>
      </c>
      <c r="M12" s="15" t="s">
        <v>725</v>
      </c>
      <c r="N12" s="4" t="s">
        <v>725</v>
      </c>
      <c r="O12" s="4" t="s">
        <v>725</v>
      </c>
    </row>
    <row r="13" spans="1:15" x14ac:dyDescent="0.25">
      <c r="A13" s="13" t="s">
        <v>10</v>
      </c>
      <c r="B13" s="3" t="s">
        <v>172</v>
      </c>
      <c r="C13" s="4">
        <v>17815080.454897147</v>
      </c>
      <c r="D13" s="4">
        <f>(VLOOKUP(A13,'Netvolumenmål 2024'!A:L,12,0)*Nøgletal!$C$11+VLOOKUP(A13,'Netvolumenmål 2025'!A:L,12,0)-E13)/2+E13</f>
        <v>15190142.066852499</v>
      </c>
      <c r="E13" s="4">
        <v>-5465733.9332999997</v>
      </c>
      <c r="F13" s="4">
        <v>0</v>
      </c>
      <c r="G13" s="14">
        <v>0.99655173251177198</v>
      </c>
      <c r="H13" s="4">
        <f t="shared" si="0"/>
        <v>15137762.393821806</v>
      </c>
      <c r="I13" s="4">
        <f>H13*Nøgletal!$C$12</f>
        <v>15575243.727003254</v>
      </c>
      <c r="J13" s="4">
        <f t="shared" si="1"/>
        <v>2239836.7278938927</v>
      </c>
      <c r="K13" s="15">
        <f t="shared" si="2"/>
        <v>0.12572700603651718</v>
      </c>
      <c r="L13" s="15">
        <f t="shared" si="3"/>
        <v>1.5715875754564648E-2</v>
      </c>
      <c r="M13" s="15">
        <f t="shared" si="4"/>
        <v>1.5715875754564648E-2</v>
      </c>
      <c r="N13" s="4">
        <f t="shared" si="5"/>
        <v>279979.59098673658</v>
      </c>
      <c r="O13" s="4">
        <f>N13*Nøgletal!$C$13</f>
        <v>283591.32771046547</v>
      </c>
    </row>
    <row r="14" spans="1:15" x14ac:dyDescent="0.25">
      <c r="A14" s="13" t="s">
        <v>11</v>
      </c>
      <c r="B14" s="3" t="s">
        <v>173</v>
      </c>
      <c r="C14" s="4">
        <v>89154492.678018719</v>
      </c>
      <c r="D14" s="4">
        <f>(VLOOKUP(A14,'Netvolumenmål 2024'!A:L,12,0)*Nøgletal!$C$11+VLOOKUP(A14,'Netvolumenmål 2025'!A:L,12,0)-E14)/2+E14</f>
        <v>81312095.849914297</v>
      </c>
      <c r="E14" s="4">
        <v>-1740651.6710999999</v>
      </c>
      <c r="F14" s="4">
        <v>0</v>
      </c>
      <c r="G14" s="14">
        <v>1</v>
      </c>
      <c r="H14" s="4">
        <f t="shared" si="0"/>
        <v>81312095.849914297</v>
      </c>
      <c r="I14" s="4">
        <f>H14*Nøgletal!$C$12</f>
        <v>83662015.419976816</v>
      </c>
      <c r="J14" s="4">
        <f t="shared" si="1"/>
        <v>5492477.2580419034</v>
      </c>
      <c r="K14" s="15">
        <f t="shared" si="2"/>
        <v>6.1606286941455375E-2</v>
      </c>
      <c r="L14" s="15">
        <f t="shared" si="3"/>
        <v>7.7007858676819219E-3</v>
      </c>
      <c r="M14" s="15">
        <f t="shared" si="4"/>
        <v>7.7007858676819219E-3</v>
      </c>
      <c r="N14" s="4">
        <f t="shared" si="5"/>
        <v>686559.65725523792</v>
      </c>
      <c r="O14" s="4">
        <f>N14*Nøgletal!$C$13</f>
        <v>695416.2768338304</v>
      </c>
    </row>
    <row r="15" spans="1:15" x14ac:dyDescent="0.25">
      <c r="A15" s="13" t="s">
        <v>12</v>
      </c>
      <c r="B15" s="3" t="s">
        <v>174</v>
      </c>
      <c r="C15" s="4" t="s">
        <v>725</v>
      </c>
      <c r="D15" s="4" t="s">
        <v>725</v>
      </c>
      <c r="E15" s="4" t="s">
        <v>725</v>
      </c>
      <c r="F15" s="4" t="s">
        <v>725</v>
      </c>
      <c r="G15" s="14">
        <v>0.68960953330999997</v>
      </c>
      <c r="H15" s="4" t="s">
        <v>725</v>
      </c>
      <c r="I15" s="4" t="s">
        <v>725</v>
      </c>
      <c r="J15" s="4" t="s">
        <v>725</v>
      </c>
      <c r="K15" s="15" t="s">
        <v>725</v>
      </c>
      <c r="L15" s="15" t="s">
        <v>725</v>
      </c>
      <c r="M15" s="15" t="s">
        <v>725</v>
      </c>
      <c r="N15" s="4" t="s">
        <v>725</v>
      </c>
      <c r="O15" s="4" t="s">
        <v>725</v>
      </c>
    </row>
    <row r="16" spans="1:15" x14ac:dyDescent="0.25">
      <c r="A16" s="13" t="s">
        <v>13</v>
      </c>
      <c r="B16" s="3" t="s">
        <v>130</v>
      </c>
      <c r="C16" s="4" t="s">
        <v>725</v>
      </c>
      <c r="D16" s="4" t="s">
        <v>725</v>
      </c>
      <c r="E16" s="4" t="s">
        <v>725</v>
      </c>
      <c r="F16" s="4" t="s">
        <v>725</v>
      </c>
      <c r="G16" s="14">
        <v>0.71555220298552302</v>
      </c>
      <c r="H16" s="4" t="s">
        <v>725</v>
      </c>
      <c r="I16" s="4" t="s">
        <v>725</v>
      </c>
      <c r="J16" s="4" t="s">
        <v>725</v>
      </c>
      <c r="K16" s="15" t="s">
        <v>725</v>
      </c>
      <c r="L16" s="15" t="s">
        <v>725</v>
      </c>
      <c r="M16" s="15" t="s">
        <v>725</v>
      </c>
      <c r="N16" s="4" t="s">
        <v>725</v>
      </c>
      <c r="O16" s="4" t="s">
        <v>725</v>
      </c>
    </row>
    <row r="17" spans="1:15" x14ac:dyDescent="0.25">
      <c r="A17" s="13" t="s">
        <v>15</v>
      </c>
      <c r="B17" s="3" t="s">
        <v>14</v>
      </c>
      <c r="C17" s="4">
        <v>21401102.857545141</v>
      </c>
      <c r="D17" s="4">
        <f>(VLOOKUP(A17,'Netvolumenmål 2024'!A:L,12,0)*Nøgletal!$C$11+VLOOKUP(A17,'Netvolumenmål 2025'!A:L,12,0)-E17)/2+E17</f>
        <v>25442887.868881222</v>
      </c>
      <c r="E17" s="4">
        <v>-105147.72870000001</v>
      </c>
      <c r="F17" s="4">
        <v>0</v>
      </c>
      <c r="G17" s="14">
        <v>0.91707533204076397</v>
      </c>
      <c r="H17" s="4">
        <f t="shared" si="0"/>
        <v>23333044.84043017</v>
      </c>
      <c r="I17" s="4">
        <f>H17*Nøgletal!$C$12</f>
        <v>24007369.836318601</v>
      </c>
      <c r="J17" s="4">
        <f t="shared" si="1"/>
        <v>0</v>
      </c>
      <c r="K17" s="15">
        <f t="shared" si="2"/>
        <v>0</v>
      </c>
      <c r="L17" s="15">
        <f t="shared" si="3"/>
        <v>0</v>
      </c>
      <c r="M17" s="15">
        <f t="shared" si="4"/>
        <v>0</v>
      </c>
      <c r="N17" s="4">
        <f t="shared" si="5"/>
        <v>0</v>
      </c>
      <c r="O17" s="4">
        <f>N17*Nøgletal!$C$13</f>
        <v>0</v>
      </c>
    </row>
    <row r="18" spans="1:15" x14ac:dyDescent="0.25">
      <c r="A18" s="13" t="s">
        <v>16</v>
      </c>
      <c r="B18" s="3" t="s">
        <v>131</v>
      </c>
      <c r="C18" s="4">
        <v>45125859.357436888</v>
      </c>
      <c r="D18" s="4">
        <f>(VLOOKUP(A18,'Netvolumenmål 2024'!A:L,12,0)*Nøgletal!$C$11+VLOOKUP(A18,'Netvolumenmål 2025'!A:L,12,0)-E18)/2+E18</f>
        <v>54346755.980857514</v>
      </c>
      <c r="E18" s="4">
        <v>53967.375691643916</v>
      </c>
      <c r="F18" s="4">
        <v>0</v>
      </c>
      <c r="G18" s="14">
        <v>0.78227837548000001</v>
      </c>
      <c r="H18" s="4">
        <f t="shared" si="0"/>
        <v>42514291.981313191</v>
      </c>
      <c r="I18" s="4">
        <f>H18*Nøgletal!$C$12</f>
        <v>43742955.019573137</v>
      </c>
      <c r="J18" s="4">
        <f t="shared" si="1"/>
        <v>1382904.3378637508</v>
      </c>
      <c r="K18" s="15">
        <f t="shared" si="2"/>
        <v>3.064549589870234E-2</v>
      </c>
      <c r="L18" s="15">
        <f t="shared" si="3"/>
        <v>3.8306869873377925E-3</v>
      </c>
      <c r="M18" s="15">
        <f t="shared" si="4"/>
        <v>3.8306869873377925E-3</v>
      </c>
      <c r="N18" s="4">
        <f t="shared" si="5"/>
        <v>172863.04223296884</v>
      </c>
      <c r="O18" s="4">
        <f>N18*Nøgletal!$C$13</f>
        <v>175092.97547777413</v>
      </c>
    </row>
    <row r="19" spans="1:15" x14ac:dyDescent="0.25">
      <c r="A19" s="13" t="s">
        <v>17</v>
      </c>
      <c r="B19" s="3" t="s">
        <v>132</v>
      </c>
      <c r="C19" s="4">
        <v>39340795.723025106</v>
      </c>
      <c r="D19" s="4">
        <f>(VLOOKUP(A19,'Netvolumenmål 2024'!A:L,12,0)*Nøgletal!$C$11+VLOOKUP(A19,'Netvolumenmål 2025'!A:L,12,0)-E19)/2+E19</f>
        <v>44226309.393757567</v>
      </c>
      <c r="E19" s="4">
        <v>-1222056.2611162441</v>
      </c>
      <c r="F19" s="4">
        <v>0</v>
      </c>
      <c r="G19" s="14">
        <v>0.77470591103999997</v>
      </c>
      <c r="H19" s="4">
        <f t="shared" si="0"/>
        <v>34262383.310827866</v>
      </c>
      <c r="I19" s="4">
        <f>H19*Nøgletal!$C$12</f>
        <v>35252566.18851079</v>
      </c>
      <c r="J19" s="4">
        <f t="shared" si="1"/>
        <v>4088229.5345143154</v>
      </c>
      <c r="K19" s="15">
        <f t="shared" si="2"/>
        <v>0.10391832344462684</v>
      </c>
      <c r="L19" s="15">
        <f t="shared" si="3"/>
        <v>1.2989790430578355E-2</v>
      </c>
      <c r="M19" s="15">
        <f t="shared" si="4"/>
        <v>1.2989790430578355E-2</v>
      </c>
      <c r="N19" s="4">
        <f t="shared" si="5"/>
        <v>511028.69181428943</v>
      </c>
      <c r="O19" s="4">
        <f>N19*Nøgletal!$C$13</f>
        <v>517620.96193869371</v>
      </c>
    </row>
    <row r="20" spans="1:15" x14ac:dyDescent="0.25">
      <c r="A20" s="13" t="s">
        <v>18</v>
      </c>
      <c r="B20" s="3" t="s">
        <v>175</v>
      </c>
      <c r="C20" s="4">
        <v>16024226.052873747</v>
      </c>
      <c r="D20" s="4">
        <f>(VLOOKUP(A20,'Netvolumenmål 2024'!A:L,12,0)*Nøgletal!$C$11+VLOOKUP(A20,'Netvolumenmål 2025'!A:L,12,0)-E20)/2+E20</f>
        <v>15205317.418241864</v>
      </c>
      <c r="E20" s="4">
        <v>-1313271.6063999999</v>
      </c>
      <c r="F20" s="4">
        <v>0</v>
      </c>
      <c r="G20" s="14">
        <v>1</v>
      </c>
      <c r="H20" s="4">
        <f t="shared" si="0"/>
        <v>15205317.418241864</v>
      </c>
      <c r="I20" s="4">
        <f>H20*Nøgletal!$C$12</f>
        <v>15644751.091629053</v>
      </c>
      <c r="J20" s="4">
        <f t="shared" si="1"/>
        <v>379474.96124469489</v>
      </c>
      <c r="K20" s="15">
        <f t="shared" si="2"/>
        <v>2.3681328508008706E-2</v>
      </c>
      <c r="L20" s="15">
        <f t="shared" si="3"/>
        <v>2.9601660635010883E-3</v>
      </c>
      <c r="M20" s="15">
        <f t="shared" si="4"/>
        <v>2.9601660635010883E-3</v>
      </c>
      <c r="N20" s="4">
        <f t="shared" si="5"/>
        <v>47434.370155586861</v>
      </c>
      <c r="O20" s="4">
        <f>N20*Nøgletal!$C$13</f>
        <v>48046.273530593928</v>
      </c>
    </row>
    <row r="21" spans="1:15" x14ac:dyDescent="0.25">
      <c r="A21" s="13" t="s">
        <v>19</v>
      </c>
      <c r="B21" s="3" t="s">
        <v>133</v>
      </c>
      <c r="C21" s="4" t="s">
        <v>725</v>
      </c>
      <c r="D21" s="4" t="s">
        <v>725</v>
      </c>
      <c r="E21" s="4" t="s">
        <v>725</v>
      </c>
      <c r="F21" s="4" t="s">
        <v>725</v>
      </c>
      <c r="G21" s="14">
        <v>1</v>
      </c>
      <c r="H21" s="4" t="s">
        <v>725</v>
      </c>
      <c r="I21" s="4" t="s">
        <v>725</v>
      </c>
      <c r="J21" s="4" t="s">
        <v>725</v>
      </c>
      <c r="K21" s="15" t="s">
        <v>725</v>
      </c>
      <c r="L21" s="15" t="s">
        <v>725</v>
      </c>
      <c r="M21" s="15" t="s">
        <v>725</v>
      </c>
      <c r="N21" s="4" t="s">
        <v>725</v>
      </c>
      <c r="O21" s="4" t="s">
        <v>725</v>
      </c>
    </row>
    <row r="22" spans="1:15" x14ac:dyDescent="0.25">
      <c r="A22" s="13" t="s">
        <v>20</v>
      </c>
      <c r="B22" s="3" t="s">
        <v>134</v>
      </c>
      <c r="C22" s="4">
        <v>12105290.367445102</v>
      </c>
      <c r="D22" s="4">
        <f>(VLOOKUP(A22,'Netvolumenmål 2024'!A:L,12,0)*Nøgletal!$C$11+VLOOKUP(A22,'Netvolumenmål 2025'!A:L,12,0)-E22)/2+E22</f>
        <v>15349107.660215564</v>
      </c>
      <c r="E22" s="4">
        <v>0</v>
      </c>
      <c r="F22" s="4">
        <v>0</v>
      </c>
      <c r="G22" s="14">
        <v>0.73261367819000001</v>
      </c>
      <c r="H22" s="4">
        <f t="shared" si="0"/>
        <v>11244966.21988483</v>
      </c>
      <c r="I22" s="4">
        <f>H22*Nøgletal!$C$12</f>
        <v>11569945.743639501</v>
      </c>
      <c r="J22" s="4">
        <f t="shared" si="1"/>
        <v>535344.62380560115</v>
      </c>
      <c r="K22" s="15">
        <f t="shared" si="2"/>
        <v>4.4224021692640239E-2</v>
      </c>
      <c r="L22" s="15">
        <f t="shared" si="3"/>
        <v>5.5280027115800299E-3</v>
      </c>
      <c r="M22" s="15">
        <f t="shared" si="4"/>
        <v>5.5280027115800299E-3</v>
      </c>
      <c r="N22" s="4">
        <f t="shared" si="5"/>
        <v>66918.077975700144</v>
      </c>
      <c r="O22" s="4">
        <f>N22*Nøgletal!$C$13</f>
        <v>67781.321181586667</v>
      </c>
    </row>
    <row r="23" spans="1:15" x14ac:dyDescent="0.25">
      <c r="A23" s="13" t="s">
        <v>21</v>
      </c>
      <c r="B23" s="3" t="s">
        <v>176</v>
      </c>
      <c r="C23" s="4" t="s">
        <v>725</v>
      </c>
      <c r="D23" s="4" t="s">
        <v>725</v>
      </c>
      <c r="E23" s="4" t="s">
        <v>725</v>
      </c>
      <c r="F23" s="4" t="s">
        <v>725</v>
      </c>
      <c r="G23" s="14">
        <v>0.89128461034400397</v>
      </c>
      <c r="H23" s="4" t="s">
        <v>725</v>
      </c>
      <c r="I23" s="4" t="s">
        <v>725</v>
      </c>
      <c r="J23" s="4" t="s">
        <v>725</v>
      </c>
      <c r="K23" s="15" t="s">
        <v>725</v>
      </c>
      <c r="L23" s="15" t="s">
        <v>725</v>
      </c>
      <c r="M23" s="15" t="s">
        <v>725</v>
      </c>
      <c r="N23" s="4" t="s">
        <v>725</v>
      </c>
      <c r="O23" s="4" t="s">
        <v>725</v>
      </c>
    </row>
    <row r="24" spans="1:15" x14ac:dyDescent="0.25">
      <c r="A24" s="13" t="s">
        <v>22</v>
      </c>
      <c r="B24" s="3" t="s">
        <v>177</v>
      </c>
      <c r="C24" s="4">
        <v>30586631.561851799</v>
      </c>
      <c r="D24" s="4">
        <f>(VLOOKUP(A24,'Netvolumenmål 2024'!A:L,12,0)*Nøgletal!$C$11+VLOOKUP(A24,'Netvolumenmål 2025'!A:L,12,0)-E24)/2+E24</f>
        <v>31932820.845738094</v>
      </c>
      <c r="E24" s="4">
        <v>-283641.59080000001</v>
      </c>
      <c r="F24" s="4">
        <v>0</v>
      </c>
      <c r="G24" s="14">
        <v>0.775323772934295</v>
      </c>
      <c r="H24" s="4">
        <f t="shared" si="0"/>
        <v>24758275.138552565</v>
      </c>
      <c r="I24" s="4">
        <f>H24*Nøgletal!$C$12</f>
        <v>25473789.290056732</v>
      </c>
      <c r="J24" s="4">
        <f t="shared" si="1"/>
        <v>5112842.2717950679</v>
      </c>
      <c r="K24" s="15">
        <f t="shared" si="2"/>
        <v>0.16715937684919505</v>
      </c>
      <c r="L24" s="15">
        <f t="shared" si="3"/>
        <v>2.0894922106149381E-2</v>
      </c>
      <c r="M24" s="15">
        <f t="shared" si="4"/>
        <v>0.02</v>
      </c>
      <c r="N24" s="4">
        <f t="shared" si="5"/>
        <v>611732.63123703597</v>
      </c>
      <c r="O24" s="4">
        <f>N24*Nøgletal!$C$13</f>
        <v>619623.98217999365</v>
      </c>
    </row>
    <row r="25" spans="1:15" x14ac:dyDescent="0.25">
      <c r="A25" s="13" t="s">
        <v>23</v>
      </c>
      <c r="B25" s="3" t="s">
        <v>178</v>
      </c>
      <c r="C25" s="4" t="s">
        <v>725</v>
      </c>
      <c r="D25" s="4" t="s">
        <v>725</v>
      </c>
      <c r="E25" s="4" t="s">
        <v>725</v>
      </c>
      <c r="F25" s="4" t="s">
        <v>725</v>
      </c>
      <c r="G25" s="14">
        <v>0.79576573404071504</v>
      </c>
      <c r="H25" s="4" t="s">
        <v>725</v>
      </c>
      <c r="I25" s="4" t="s">
        <v>725</v>
      </c>
      <c r="J25" s="4" t="s">
        <v>725</v>
      </c>
      <c r="K25" s="15" t="s">
        <v>725</v>
      </c>
      <c r="L25" s="15" t="s">
        <v>725</v>
      </c>
      <c r="M25" s="15" t="s">
        <v>725</v>
      </c>
      <c r="N25" s="4" t="s">
        <v>725</v>
      </c>
      <c r="O25" s="4" t="s">
        <v>725</v>
      </c>
    </row>
    <row r="26" spans="1:15" x14ac:dyDescent="0.25">
      <c r="A26" s="13" t="s">
        <v>24</v>
      </c>
      <c r="B26" s="3" t="s">
        <v>135</v>
      </c>
      <c r="C26" s="4">
        <v>32832193.558737591</v>
      </c>
      <c r="D26" s="4">
        <f>(VLOOKUP(A26,'Netvolumenmål 2024'!A:L,12,0)*Nøgletal!$C$11+VLOOKUP(A26,'Netvolumenmål 2025'!A:L,12,0)-E26)/2+E26</f>
        <v>36024326.813775241</v>
      </c>
      <c r="E26" s="4">
        <v>-210674.2034</v>
      </c>
      <c r="F26" s="4">
        <v>0</v>
      </c>
      <c r="G26" s="14">
        <v>0.53393382497999997</v>
      </c>
      <c r="H26" s="4">
        <f t="shared" si="0"/>
        <v>19234606.60800859</v>
      </c>
      <c r="I26" s="4">
        <f>H26*Nøgletal!$C$12</f>
        <v>19790486.738980036</v>
      </c>
      <c r="J26" s="4">
        <f t="shared" si="1"/>
        <v>13041706.819757555</v>
      </c>
      <c r="K26" s="15">
        <f t="shared" si="2"/>
        <v>0.39722313394703967</v>
      </c>
      <c r="L26" s="15">
        <f t="shared" si="3"/>
        <v>4.9652891743379959E-2</v>
      </c>
      <c r="M26" s="15">
        <f t="shared" si="4"/>
        <v>0.02</v>
      </c>
      <c r="N26" s="4">
        <f t="shared" si="5"/>
        <v>656643.87117475178</v>
      </c>
      <c r="O26" s="4">
        <f>N26*Nøgletal!$C$13</f>
        <v>665114.57711290603</v>
      </c>
    </row>
    <row r="27" spans="1:15" x14ac:dyDescent="0.25">
      <c r="A27" s="13" t="s">
        <v>25</v>
      </c>
      <c r="B27" s="3" t="s">
        <v>179</v>
      </c>
      <c r="C27" s="4" t="s">
        <v>725</v>
      </c>
      <c r="D27" s="4" t="s">
        <v>725</v>
      </c>
      <c r="E27" s="4" t="s">
        <v>725</v>
      </c>
      <c r="F27" s="4" t="s">
        <v>725</v>
      </c>
      <c r="G27" s="14">
        <v>0.70757859578888005</v>
      </c>
      <c r="H27" s="4" t="s">
        <v>725</v>
      </c>
      <c r="I27" s="4" t="s">
        <v>725</v>
      </c>
      <c r="J27" s="4" t="s">
        <v>725</v>
      </c>
      <c r="K27" s="15" t="s">
        <v>725</v>
      </c>
      <c r="L27" s="15" t="s">
        <v>725</v>
      </c>
      <c r="M27" s="15" t="s">
        <v>725</v>
      </c>
      <c r="N27" s="4" t="s">
        <v>725</v>
      </c>
      <c r="O27" s="4" t="s">
        <v>725</v>
      </c>
    </row>
    <row r="28" spans="1:15" x14ac:dyDescent="0.25">
      <c r="A28" s="13" t="s">
        <v>26</v>
      </c>
      <c r="B28" s="3" t="s">
        <v>180</v>
      </c>
      <c r="C28" s="4">
        <v>15514420.975482628</v>
      </c>
      <c r="D28" s="4">
        <f>(VLOOKUP(A28,'Netvolumenmål 2024'!A:L,12,0)*Nøgletal!$C$11+VLOOKUP(A28,'Netvolumenmål 2025'!A:L,12,0)-E28)/2+E28</f>
        <v>17295726.059982877</v>
      </c>
      <c r="E28" s="4">
        <v>-1708721.8473999999</v>
      </c>
      <c r="F28" s="4">
        <v>0</v>
      </c>
      <c r="G28" s="14">
        <v>0.801543421009143</v>
      </c>
      <c r="H28" s="4">
        <f t="shared" si="0"/>
        <v>13863275.434955662</v>
      </c>
      <c r="I28" s="4">
        <f>H28*Nøgletal!$C$12</f>
        <v>14263924.09502588</v>
      </c>
      <c r="J28" s="4">
        <f t="shared" si="1"/>
        <v>1250496.8804567475</v>
      </c>
      <c r="K28" s="15">
        <f t="shared" si="2"/>
        <v>8.0602226949552436E-2</v>
      </c>
      <c r="L28" s="15">
        <f t="shared" si="3"/>
        <v>1.0075278368694054E-2</v>
      </c>
      <c r="M28" s="15">
        <f t="shared" si="4"/>
        <v>1.0075278368694054E-2</v>
      </c>
      <c r="N28" s="4">
        <f t="shared" si="5"/>
        <v>156312.11005709344</v>
      </c>
      <c r="O28" s="4">
        <f>N28*Nøgletal!$C$13</f>
        <v>158328.53627682992</v>
      </c>
    </row>
    <row r="29" spans="1:15" x14ac:dyDescent="0.25">
      <c r="A29" s="13" t="s">
        <v>27</v>
      </c>
      <c r="B29" s="3" t="s">
        <v>136</v>
      </c>
      <c r="C29" s="4">
        <v>26207277.429357007</v>
      </c>
      <c r="D29" s="4">
        <f>(VLOOKUP(A29,'Netvolumenmål 2024'!A:L,12,0)*Nøgletal!$C$11+VLOOKUP(A29,'Netvolumenmål 2025'!A:L,12,0)-E29)/2+E29</f>
        <v>30428356.934080172</v>
      </c>
      <c r="E29" s="4">
        <v>402653.2795</v>
      </c>
      <c r="F29" s="4">
        <v>13350.16564052084</v>
      </c>
      <c r="G29" s="14">
        <v>0.85764337571000004</v>
      </c>
      <c r="H29" s="4">
        <f t="shared" si="0"/>
        <v>26108128.439379532</v>
      </c>
      <c r="I29" s="4">
        <f>H29*Nøgletal!$C$12</f>
        <v>26862653.351277597</v>
      </c>
      <c r="J29" s="4">
        <f t="shared" si="1"/>
        <v>0</v>
      </c>
      <c r="K29" s="15">
        <f t="shared" si="2"/>
        <v>0</v>
      </c>
      <c r="L29" s="15">
        <f t="shared" si="3"/>
        <v>0</v>
      </c>
      <c r="M29" s="15">
        <f t="shared" si="4"/>
        <v>0</v>
      </c>
      <c r="N29" s="4">
        <f t="shared" si="5"/>
        <v>0</v>
      </c>
      <c r="O29" s="4">
        <f>N29*Nøgletal!$C$13</f>
        <v>0</v>
      </c>
    </row>
    <row r="30" spans="1:15" x14ac:dyDescent="0.25">
      <c r="A30" s="13" t="s">
        <v>28</v>
      </c>
      <c r="B30" s="3" t="s">
        <v>181</v>
      </c>
      <c r="C30" s="4" t="s">
        <v>725</v>
      </c>
      <c r="D30" s="4" t="s">
        <v>725</v>
      </c>
      <c r="E30" s="4" t="s">
        <v>725</v>
      </c>
      <c r="F30" s="4" t="s">
        <v>725</v>
      </c>
      <c r="G30" s="14">
        <v>0.60132999488980998</v>
      </c>
      <c r="H30" s="4" t="s">
        <v>725</v>
      </c>
      <c r="I30" s="4" t="s">
        <v>725</v>
      </c>
      <c r="J30" s="4" t="s">
        <v>725</v>
      </c>
      <c r="K30" s="15" t="s">
        <v>725</v>
      </c>
      <c r="L30" s="15" t="s">
        <v>725</v>
      </c>
      <c r="M30" s="15" t="s">
        <v>725</v>
      </c>
      <c r="N30" s="4" t="s">
        <v>725</v>
      </c>
      <c r="O30" s="4" t="s">
        <v>725</v>
      </c>
    </row>
    <row r="31" spans="1:15" x14ac:dyDescent="0.25">
      <c r="A31" s="13" t="s">
        <v>29</v>
      </c>
      <c r="B31" s="3" t="s">
        <v>182</v>
      </c>
      <c r="C31" s="4">
        <v>22931836.841075115</v>
      </c>
      <c r="D31" s="4">
        <f>(VLOOKUP(A31,'Netvolumenmål 2024'!A:L,12,0)*Nøgletal!$C$11+VLOOKUP(A31,'Netvolumenmål 2025'!A:L,12,0)-E31)/2+E31</f>
        <v>32127987.047525875</v>
      </c>
      <c r="E31" s="4">
        <v>51778.104699999996</v>
      </c>
      <c r="F31" s="4">
        <v>10070.547179861989</v>
      </c>
      <c r="G31" s="14">
        <v>0.71203655264880505</v>
      </c>
      <c r="H31" s="4">
        <f t="shared" si="0"/>
        <v>22883471.73856302</v>
      </c>
      <c r="I31" s="4">
        <f>H31*Nøgletal!$C$12</f>
        <v>23544804.071807489</v>
      </c>
      <c r="J31" s="4">
        <f t="shared" si="1"/>
        <v>0</v>
      </c>
      <c r="K31" s="15">
        <f t="shared" si="2"/>
        <v>0</v>
      </c>
      <c r="L31" s="15">
        <f t="shared" si="3"/>
        <v>0</v>
      </c>
      <c r="M31" s="15">
        <f t="shared" si="4"/>
        <v>0</v>
      </c>
      <c r="N31" s="4">
        <f t="shared" si="5"/>
        <v>0</v>
      </c>
      <c r="O31" s="4">
        <f>N31*Nøgletal!$C$13</f>
        <v>0</v>
      </c>
    </row>
    <row r="32" spans="1:15" x14ac:dyDescent="0.25">
      <c r="A32" s="13" t="s">
        <v>30</v>
      </c>
      <c r="B32" s="3" t="s">
        <v>183</v>
      </c>
      <c r="C32" s="4">
        <v>513496189.69223022</v>
      </c>
      <c r="D32" s="4">
        <f>(VLOOKUP(A32,'Netvolumenmål 2024'!A:L,12,0)*Nøgletal!$C$11+VLOOKUP(A32,'Netvolumenmål 2025'!A:L,12,0)-E32)/2+E32</f>
        <v>511088521.36816514</v>
      </c>
      <c r="E32" s="4">
        <v>-73390293.757400006</v>
      </c>
      <c r="F32" s="4">
        <v>435921.12227806787</v>
      </c>
      <c r="G32" s="14">
        <v>1</v>
      </c>
      <c r="H32" s="4">
        <f t="shared" si="0"/>
        <v>511524442.49044323</v>
      </c>
      <c r="I32" s="4">
        <f>H32*Nøgletal!$C$12</f>
        <v>526307498.87841702</v>
      </c>
      <c r="J32" s="4">
        <f t="shared" si="1"/>
        <v>0</v>
      </c>
      <c r="K32" s="15">
        <f t="shared" si="2"/>
        <v>0</v>
      </c>
      <c r="L32" s="15">
        <f t="shared" si="3"/>
        <v>0</v>
      </c>
      <c r="M32" s="15">
        <f t="shared" si="4"/>
        <v>0</v>
      </c>
      <c r="N32" s="4">
        <f t="shared" si="5"/>
        <v>0</v>
      </c>
      <c r="O32" s="4">
        <f>N32*Nøgletal!$C$13</f>
        <v>0</v>
      </c>
    </row>
    <row r="33" spans="1:15" x14ac:dyDescent="0.25">
      <c r="A33" s="13" t="s">
        <v>31</v>
      </c>
      <c r="B33" s="3" t="s">
        <v>184</v>
      </c>
      <c r="C33" s="4">
        <v>21038040.265827153</v>
      </c>
      <c r="D33" s="4">
        <f>(VLOOKUP(A33,'Netvolumenmål 2024'!A:L,12,0)*Nøgletal!$C$11+VLOOKUP(A33,'Netvolumenmål 2025'!A:L,12,0)-E33)/2+E33</f>
        <v>24997738.402998026</v>
      </c>
      <c r="E33" s="4">
        <v>-590072.48580000002</v>
      </c>
      <c r="F33" s="4">
        <v>21982.816093427937</v>
      </c>
      <c r="G33" s="14">
        <v>0.70178544427353096</v>
      </c>
      <c r="H33" s="4">
        <f t="shared" si="0"/>
        <v>17558476.171339985</v>
      </c>
      <c r="I33" s="4">
        <f>H33*Nøgletal!$C$12</f>
        <v>18065916.132691707</v>
      </c>
      <c r="J33" s="4">
        <f t="shared" si="1"/>
        <v>2972124.1331354454</v>
      </c>
      <c r="K33" s="15">
        <f t="shared" si="2"/>
        <v>0.1412738114187933</v>
      </c>
      <c r="L33" s="15">
        <f t="shared" si="3"/>
        <v>1.7659226427349163E-2</v>
      </c>
      <c r="M33" s="15">
        <f t="shared" si="4"/>
        <v>1.7659226427349163E-2</v>
      </c>
      <c r="N33" s="4">
        <f t="shared" si="5"/>
        <v>371515.51664193068</v>
      </c>
      <c r="O33" s="4">
        <f>N33*Nøgletal!$C$13</f>
        <v>376308.06680661155</v>
      </c>
    </row>
    <row r="34" spans="1:15" x14ac:dyDescent="0.25">
      <c r="A34" s="13" t="s">
        <v>33</v>
      </c>
      <c r="B34" s="3" t="s">
        <v>137</v>
      </c>
      <c r="C34" s="4">
        <v>46503028.409053452</v>
      </c>
      <c r="D34" s="4">
        <f>(VLOOKUP(A34,'Netvolumenmål 2024'!A:L,12,0)*Nøgletal!$C$11+VLOOKUP(A34,'Netvolumenmål 2025'!A:L,12,0)-E34)/2+E34</f>
        <v>49312023.0461796</v>
      </c>
      <c r="E34" s="4">
        <v>220557.56</v>
      </c>
      <c r="F34" s="4">
        <v>136918.61822588832</v>
      </c>
      <c r="G34" s="14">
        <v>0.92960785252</v>
      </c>
      <c r="H34" s="4">
        <f t="shared" si="0"/>
        <v>45968124.470034741</v>
      </c>
      <c r="I34" s="4">
        <f>H34*Nøgletal!$C$12</f>
        <v>47296603.267218739</v>
      </c>
      <c r="J34" s="4">
        <f t="shared" si="1"/>
        <v>0</v>
      </c>
      <c r="K34" s="15">
        <f t="shared" si="2"/>
        <v>0</v>
      </c>
      <c r="L34" s="15">
        <f t="shared" si="3"/>
        <v>0</v>
      </c>
      <c r="M34" s="15">
        <f t="shared" si="4"/>
        <v>0</v>
      </c>
      <c r="N34" s="4">
        <f t="shared" si="5"/>
        <v>0</v>
      </c>
      <c r="O34" s="4">
        <f>N34*Nøgletal!$C$13</f>
        <v>0</v>
      </c>
    </row>
    <row r="35" spans="1:15" x14ac:dyDescent="0.25">
      <c r="A35" s="13" t="s">
        <v>34</v>
      </c>
      <c r="B35" s="3" t="s">
        <v>185</v>
      </c>
      <c r="C35" s="4" t="s">
        <v>725</v>
      </c>
      <c r="D35" s="4" t="s">
        <v>725</v>
      </c>
      <c r="E35" s="4" t="s">
        <v>725</v>
      </c>
      <c r="F35" s="4" t="s">
        <v>725</v>
      </c>
      <c r="G35" s="14">
        <v>1</v>
      </c>
      <c r="H35" s="4" t="s">
        <v>725</v>
      </c>
      <c r="I35" s="4" t="s">
        <v>725</v>
      </c>
      <c r="J35" s="4" t="s">
        <v>725</v>
      </c>
      <c r="K35" s="15" t="s">
        <v>725</v>
      </c>
      <c r="L35" s="15" t="s">
        <v>725</v>
      </c>
      <c r="M35" s="15" t="s">
        <v>725</v>
      </c>
      <c r="N35" s="4" t="s">
        <v>725</v>
      </c>
      <c r="O35" s="4" t="s">
        <v>725</v>
      </c>
    </row>
    <row r="36" spans="1:15" x14ac:dyDescent="0.25">
      <c r="A36" s="13" t="s">
        <v>35</v>
      </c>
      <c r="B36" s="3" t="s">
        <v>138</v>
      </c>
      <c r="C36" s="4">
        <v>14137846.524986714</v>
      </c>
      <c r="D36" s="4">
        <f>(VLOOKUP(A36,'Netvolumenmål 2024'!A:L,12,0)*Nøgletal!$C$11+VLOOKUP(A36,'Netvolumenmål 2025'!A:L,12,0)-E36)/2+E36</f>
        <v>14196158.528610962</v>
      </c>
      <c r="E36" s="4">
        <v>-78968.665947669477</v>
      </c>
      <c r="F36" s="4">
        <v>0</v>
      </c>
      <c r="G36" s="14">
        <v>0.91016280201756505</v>
      </c>
      <c r="H36" s="4">
        <f t="shared" si="0"/>
        <v>12920815.424286107</v>
      </c>
      <c r="I36" s="4">
        <f>H36*Nøgletal!$C$12</f>
        <v>13294226.990047975</v>
      </c>
      <c r="J36" s="4">
        <f t="shared" si="1"/>
        <v>843619.53493873961</v>
      </c>
      <c r="K36" s="15">
        <f t="shared" si="2"/>
        <v>5.9671006715751033E-2</v>
      </c>
      <c r="L36" s="15">
        <f t="shared" si="3"/>
        <v>7.4588758394688792E-3</v>
      </c>
      <c r="M36" s="15">
        <f t="shared" si="4"/>
        <v>7.4588758394688792E-3</v>
      </c>
      <c r="N36" s="4">
        <f t="shared" si="5"/>
        <v>105452.44186734245</v>
      </c>
      <c r="O36" s="4">
        <f>N36*Nøgletal!$C$13</f>
        <v>106812.77836743116</v>
      </c>
    </row>
    <row r="37" spans="1:15" x14ac:dyDescent="0.25">
      <c r="A37" s="13" t="s">
        <v>37</v>
      </c>
      <c r="B37" s="3" t="s">
        <v>36</v>
      </c>
      <c r="C37" s="4">
        <v>11317970.956970468</v>
      </c>
      <c r="D37" s="4">
        <f>(VLOOKUP(A37,'Netvolumenmål 2024'!A:L,12,0)*Nøgletal!$C$11+VLOOKUP(A37,'Netvolumenmål 2025'!A:L,12,0)-E37)/2+E37</f>
        <v>11144635.017373987</v>
      </c>
      <c r="E37" s="4">
        <v>0</v>
      </c>
      <c r="F37" s="4">
        <v>0</v>
      </c>
      <c r="G37" s="14">
        <v>1</v>
      </c>
      <c r="H37" s="4">
        <f t="shared" si="0"/>
        <v>11144635.017373987</v>
      </c>
      <c r="I37" s="4">
        <f>H37*Nøgletal!$C$12</f>
        <v>11466714.969376095</v>
      </c>
      <c r="J37" s="4">
        <f t="shared" si="1"/>
        <v>0</v>
      </c>
      <c r="K37" s="15">
        <f t="shared" si="2"/>
        <v>0</v>
      </c>
      <c r="L37" s="15">
        <f t="shared" si="3"/>
        <v>0</v>
      </c>
      <c r="M37" s="15">
        <f t="shared" si="4"/>
        <v>0</v>
      </c>
      <c r="N37" s="4">
        <f t="shared" si="5"/>
        <v>0</v>
      </c>
      <c r="O37" s="4">
        <f>N37*Nøgletal!$C$13</f>
        <v>0</v>
      </c>
    </row>
    <row r="38" spans="1:15" x14ac:dyDescent="0.25">
      <c r="A38" s="13" t="s">
        <v>38</v>
      </c>
      <c r="B38" s="3" t="s">
        <v>186</v>
      </c>
      <c r="C38" s="4">
        <v>14465754.646857951</v>
      </c>
      <c r="D38" s="4">
        <f>(VLOOKUP(A38,'Netvolumenmål 2024'!A:L,12,0)*Nøgletal!$C$11+VLOOKUP(A38,'Netvolumenmål 2025'!A:L,12,0)-E38)/2+E38</f>
        <v>15924979.655749822</v>
      </c>
      <c r="E38" s="4">
        <v>1205274</v>
      </c>
      <c r="F38" s="4">
        <v>0</v>
      </c>
      <c r="G38" s="14">
        <v>0.79618219646999999</v>
      </c>
      <c r="H38" s="4">
        <f t="shared" si="0"/>
        <v>12679185.281054957</v>
      </c>
      <c r="I38" s="4">
        <f>H38*Nøgletal!$C$12</f>
        <v>13045613.735677443</v>
      </c>
      <c r="J38" s="4">
        <f t="shared" si="1"/>
        <v>1420140.9111805074</v>
      </c>
      <c r="K38" s="15">
        <f t="shared" si="2"/>
        <v>9.8172611512457153E-2</v>
      </c>
      <c r="L38" s="15">
        <f t="shared" si="3"/>
        <v>1.2271576439057144E-2</v>
      </c>
      <c r="M38" s="15">
        <f t="shared" si="4"/>
        <v>1.2271576439057144E-2</v>
      </c>
      <c r="N38" s="4">
        <f t="shared" si="5"/>
        <v>177517.61389756342</v>
      </c>
      <c r="O38" s="4">
        <f>N38*Nøgletal!$C$13</f>
        <v>179807.59111684197</v>
      </c>
    </row>
    <row r="39" spans="1:15" x14ac:dyDescent="0.25">
      <c r="A39" s="13" t="s">
        <v>39</v>
      </c>
      <c r="B39" s="3" t="s">
        <v>139</v>
      </c>
      <c r="C39" s="4">
        <v>25029106.301027469</v>
      </c>
      <c r="D39" s="4">
        <f>(VLOOKUP(A39,'Netvolumenmål 2024'!A:L,12,0)*Nøgletal!$C$11+VLOOKUP(A39,'Netvolumenmål 2025'!A:L,12,0)-E39)/2+E39</f>
        <v>22407596.668472365</v>
      </c>
      <c r="E39" s="4">
        <v>-32667</v>
      </c>
      <c r="F39" s="4">
        <v>0</v>
      </c>
      <c r="G39" s="14">
        <v>0.68170705676999999</v>
      </c>
      <c r="H39" s="4">
        <f t="shared" si="0"/>
        <v>15275416.774153553</v>
      </c>
      <c r="I39" s="4">
        <f>H39*Nøgletal!$C$12</f>
        <v>15716876.31892659</v>
      </c>
      <c r="J39" s="4">
        <f t="shared" si="1"/>
        <v>9312229.9821008798</v>
      </c>
      <c r="K39" s="15">
        <f t="shared" si="2"/>
        <v>0.37205603228903955</v>
      </c>
      <c r="L39" s="15">
        <f t="shared" si="3"/>
        <v>4.6507004036129944E-2</v>
      </c>
      <c r="M39" s="15">
        <f t="shared" si="4"/>
        <v>0.02</v>
      </c>
      <c r="N39" s="4">
        <f t="shared" si="5"/>
        <v>500582.12602054939</v>
      </c>
      <c r="O39" s="4">
        <f>N39*Nøgletal!$C$13</f>
        <v>507039.63544621441</v>
      </c>
    </row>
    <row r="40" spans="1:15" x14ac:dyDescent="0.25">
      <c r="A40" s="13" t="s">
        <v>40</v>
      </c>
      <c r="B40" s="3" t="s">
        <v>187</v>
      </c>
      <c r="C40" s="4">
        <v>42088937.784589715</v>
      </c>
      <c r="D40" s="4">
        <f>(VLOOKUP(A40,'Netvolumenmål 2024'!A:L,12,0)*Nøgletal!$C$11+VLOOKUP(A40,'Netvolumenmål 2025'!A:L,12,0)-E40)/2+E40</f>
        <v>43469066.292862713</v>
      </c>
      <c r="E40" s="4">
        <v>3499286.1788999997</v>
      </c>
      <c r="F40" s="4">
        <v>0</v>
      </c>
      <c r="G40" s="14">
        <v>0.62762313930000002</v>
      </c>
      <c r="H40" s="4">
        <f t="shared" si="0"/>
        <v>27282191.849166311</v>
      </c>
      <c r="I40" s="4">
        <f>H40*Nøgletal!$C$12</f>
        <v>28070647.193607215</v>
      </c>
      <c r="J40" s="4">
        <f t="shared" si="1"/>
        <v>14018290.5909825</v>
      </c>
      <c r="K40" s="15">
        <f t="shared" si="2"/>
        <v>0.33306353946796691</v>
      </c>
      <c r="L40" s="15">
        <f t="shared" si="3"/>
        <v>4.1632942433495863E-2</v>
      </c>
      <c r="M40" s="15">
        <f t="shared" si="4"/>
        <v>0.02</v>
      </c>
      <c r="N40" s="4">
        <f t="shared" si="5"/>
        <v>841778.75569179433</v>
      </c>
      <c r="O40" s="4">
        <f>N40*Nøgletal!$C$13</f>
        <v>852637.70164021838</v>
      </c>
    </row>
    <row r="41" spans="1:15" x14ac:dyDescent="0.25">
      <c r="A41" s="13" t="s">
        <v>41</v>
      </c>
      <c r="B41" s="3" t="s">
        <v>188</v>
      </c>
      <c r="C41" s="4">
        <v>15869264.361971177</v>
      </c>
      <c r="D41" s="4">
        <f>(VLOOKUP(A41,'Netvolumenmål 2024'!A:L,12,0)*Nøgletal!$C$11+VLOOKUP(A41,'Netvolumenmål 2025'!A:L,12,0)-E41)/2+E41</f>
        <v>16999938.349581044</v>
      </c>
      <c r="E41" s="4">
        <v>17264</v>
      </c>
      <c r="F41" s="4">
        <v>0</v>
      </c>
      <c r="G41" s="14">
        <v>0.78600633464055103</v>
      </c>
      <c r="H41" s="4">
        <f t="shared" si="0"/>
        <v>13362059.231269535</v>
      </c>
      <c r="I41" s="4">
        <f>H41*Nøgletal!$C$12</f>
        <v>13748222.743053224</v>
      </c>
      <c r="J41" s="4">
        <f t="shared" si="1"/>
        <v>2121041.6189179532</v>
      </c>
      <c r="K41" s="15">
        <f t="shared" si="2"/>
        <v>0.13365721123159177</v>
      </c>
      <c r="L41" s="15">
        <f t="shared" si="3"/>
        <v>1.6707151403948971E-2</v>
      </c>
      <c r="M41" s="15">
        <f t="shared" si="4"/>
        <v>1.6707151403948971E-2</v>
      </c>
      <c r="N41" s="4">
        <f t="shared" si="5"/>
        <v>265130.20236474415</v>
      </c>
      <c r="O41" s="4">
        <f>N41*Nøgletal!$C$13</f>
        <v>268550.38197524933</v>
      </c>
    </row>
    <row r="42" spans="1:15" x14ac:dyDescent="0.25">
      <c r="A42" s="13" t="s">
        <v>42</v>
      </c>
      <c r="B42" s="3" t="s">
        <v>189</v>
      </c>
      <c r="C42" s="4">
        <v>23631520.145496916</v>
      </c>
      <c r="D42" s="4">
        <f>(VLOOKUP(A42,'Netvolumenmål 2024'!A:L,12,0)*Nøgletal!$C$11+VLOOKUP(A42,'Netvolumenmål 2025'!A:L,12,0)-E42)/2+E42</f>
        <v>29628695.963249594</v>
      </c>
      <c r="E42" s="4">
        <v>-29006</v>
      </c>
      <c r="F42" s="4">
        <v>0</v>
      </c>
      <c r="G42" s="14">
        <v>0.85290136504000003</v>
      </c>
      <c r="H42" s="4">
        <f t="shared" si="0"/>
        <v>25270355.231410716</v>
      </c>
      <c r="I42" s="4">
        <f>H42*Nøgletal!$C$12</f>
        <v>26000668.497598484</v>
      </c>
      <c r="J42" s="4">
        <f t="shared" si="1"/>
        <v>0</v>
      </c>
      <c r="K42" s="15">
        <f t="shared" si="2"/>
        <v>0</v>
      </c>
      <c r="L42" s="15">
        <f t="shared" si="3"/>
        <v>0</v>
      </c>
      <c r="M42" s="15">
        <f t="shared" si="4"/>
        <v>0</v>
      </c>
      <c r="N42" s="4">
        <f t="shared" si="5"/>
        <v>0</v>
      </c>
      <c r="O42" s="4">
        <f>N42*Nøgletal!$C$13</f>
        <v>0</v>
      </c>
    </row>
    <row r="43" spans="1:15" x14ac:dyDescent="0.25">
      <c r="A43" s="13" t="s">
        <v>43</v>
      </c>
      <c r="B43" s="3" t="s">
        <v>190</v>
      </c>
      <c r="C43" s="4">
        <v>23465440.144820191</v>
      </c>
      <c r="D43" s="4">
        <f>(VLOOKUP(A43,'Netvolumenmål 2024'!A:L,12,0)*Nøgletal!$C$11+VLOOKUP(A43,'Netvolumenmål 2025'!A:L,12,0)-E43)/2+E43</f>
        <v>25141226.67556908</v>
      </c>
      <c r="E43" s="4">
        <v>0</v>
      </c>
      <c r="F43" s="4">
        <v>0</v>
      </c>
      <c r="G43" s="14">
        <v>0.86206909479000005</v>
      </c>
      <c r="H43" s="4">
        <f t="shared" si="0"/>
        <v>21673474.522118039</v>
      </c>
      <c r="I43" s="4">
        <f>H43*Nøgletal!$C$12</f>
        <v>22299837.93580725</v>
      </c>
      <c r="J43" s="4">
        <f t="shared" si="1"/>
        <v>1165602.2090129405</v>
      </c>
      <c r="K43" s="15">
        <f t="shared" si="2"/>
        <v>4.9673144923737471E-2</v>
      </c>
      <c r="L43" s="15">
        <f t="shared" si="3"/>
        <v>6.2091431154671839E-3</v>
      </c>
      <c r="M43" s="15">
        <f t="shared" si="4"/>
        <v>6.2091431154671839E-3</v>
      </c>
      <c r="N43" s="4">
        <f t="shared" si="5"/>
        <v>145700.27612661757</v>
      </c>
      <c r="O43" s="4">
        <f>N43*Nøgletal!$C$13</f>
        <v>147579.80968865092</v>
      </c>
    </row>
    <row r="44" spans="1:15" x14ac:dyDescent="0.25">
      <c r="A44" s="13" t="s">
        <v>44</v>
      </c>
      <c r="B44" s="3" t="s">
        <v>191</v>
      </c>
      <c r="C44" s="4" t="s">
        <v>725</v>
      </c>
      <c r="D44" s="4" t="s">
        <v>725</v>
      </c>
      <c r="E44" s="4" t="s">
        <v>725</v>
      </c>
      <c r="F44" s="4" t="s">
        <v>725</v>
      </c>
      <c r="G44" s="14">
        <v>0.67036055188039101</v>
      </c>
      <c r="H44" s="4" t="s">
        <v>725</v>
      </c>
      <c r="I44" s="4" t="s">
        <v>725</v>
      </c>
      <c r="J44" s="4" t="s">
        <v>725</v>
      </c>
      <c r="K44" s="15" t="s">
        <v>725</v>
      </c>
      <c r="L44" s="15" t="s">
        <v>725</v>
      </c>
      <c r="M44" s="15" t="s">
        <v>725</v>
      </c>
      <c r="N44" s="4" t="s">
        <v>725</v>
      </c>
      <c r="O44" s="4" t="s">
        <v>725</v>
      </c>
    </row>
    <row r="45" spans="1:15" x14ac:dyDescent="0.25">
      <c r="A45" s="13" t="s">
        <v>45</v>
      </c>
      <c r="B45" s="3" t="s">
        <v>192</v>
      </c>
      <c r="C45" s="4">
        <v>61123598.435464136</v>
      </c>
      <c r="D45" s="4">
        <f>(VLOOKUP(A45,'Netvolumenmål 2024'!A:L,12,0)*Nøgletal!$C$11+VLOOKUP(A45,'Netvolumenmål 2025'!A:L,12,0)-E45)/2+E45</f>
        <v>42250370.810995296</v>
      </c>
      <c r="E45" s="4">
        <v>-5502612.0965999998</v>
      </c>
      <c r="F45" s="4">
        <v>0</v>
      </c>
      <c r="G45" s="14">
        <v>0.78536415428303197</v>
      </c>
      <c r="H45" s="4">
        <f t="shared" si="0"/>
        <v>33181926.740121819</v>
      </c>
      <c r="I45" s="4">
        <f>H45*Nøgletal!$C$12</f>
        <v>34140884.422911339</v>
      </c>
      <c r="J45" s="4">
        <f t="shared" si="1"/>
        <v>26982714.012552798</v>
      </c>
      <c r="K45" s="15">
        <f t="shared" si="2"/>
        <v>0.44144511617786769</v>
      </c>
      <c r="L45" s="15">
        <f t="shared" si="3"/>
        <v>5.5180639522233461E-2</v>
      </c>
      <c r="M45" s="15">
        <f t="shared" si="4"/>
        <v>0.02</v>
      </c>
      <c r="N45" s="4">
        <f t="shared" si="5"/>
        <v>1222471.9687092828</v>
      </c>
      <c r="O45" s="4">
        <f>N45*Nøgletal!$C$13</f>
        <v>1238241.8571056325</v>
      </c>
    </row>
    <row r="46" spans="1:15" x14ac:dyDescent="0.25">
      <c r="A46" s="13" t="s">
        <v>46</v>
      </c>
      <c r="B46" s="3" t="s">
        <v>193</v>
      </c>
      <c r="C46" s="4">
        <v>14532719.941041365</v>
      </c>
      <c r="D46" s="4">
        <f>(VLOOKUP(A46,'Netvolumenmål 2024'!A:L,12,0)*Nøgletal!$C$11+VLOOKUP(A46,'Netvolumenmål 2025'!A:L,12,0)-E46)/2+E46</f>
        <v>15527969.390444484</v>
      </c>
      <c r="E46" s="4">
        <v>0</v>
      </c>
      <c r="F46" s="4">
        <v>0</v>
      </c>
      <c r="G46" s="14">
        <v>0.94620761817999999</v>
      </c>
      <c r="H46" s="4">
        <f t="shared" si="0"/>
        <v>14692682.932104422</v>
      </c>
      <c r="I46" s="4">
        <f>H46*Nøgletal!$C$12</f>
        <v>15117301.468842238</v>
      </c>
      <c r="J46" s="4">
        <f t="shared" si="1"/>
        <v>0</v>
      </c>
      <c r="K46" s="15">
        <f t="shared" si="2"/>
        <v>0</v>
      </c>
      <c r="L46" s="15">
        <f t="shared" si="3"/>
        <v>0</v>
      </c>
      <c r="M46" s="15">
        <f t="shared" si="4"/>
        <v>0</v>
      </c>
      <c r="N46" s="4">
        <f t="shared" si="5"/>
        <v>0</v>
      </c>
      <c r="O46" s="4">
        <f>N46*Nøgletal!$C$13</f>
        <v>0</v>
      </c>
    </row>
    <row r="47" spans="1:15" x14ac:dyDescent="0.25">
      <c r="A47" s="13" t="s">
        <v>47</v>
      </c>
      <c r="B47" s="3" t="s">
        <v>140</v>
      </c>
      <c r="C47" s="4">
        <v>18869135.653684165</v>
      </c>
      <c r="D47" s="4">
        <f>(VLOOKUP(A47,'Netvolumenmål 2024'!A:L,12,0)*Nøgletal!$C$11+VLOOKUP(A47,'Netvolumenmål 2025'!A:L,12,0)-E47)/2+E47</f>
        <v>24017484.995562203</v>
      </c>
      <c r="E47" s="4">
        <v>0</v>
      </c>
      <c r="F47" s="4">
        <v>0</v>
      </c>
      <c r="G47" s="14">
        <v>0.71969953660999997</v>
      </c>
      <c r="H47" s="4">
        <f t="shared" si="0"/>
        <v>17285372.821843743</v>
      </c>
      <c r="I47" s="4">
        <f>H47*Nøgletal!$C$12</f>
        <v>17784920.096395027</v>
      </c>
      <c r="J47" s="4">
        <f t="shared" si="1"/>
        <v>1084215.5572891384</v>
      </c>
      <c r="K47" s="15">
        <f t="shared" si="2"/>
        <v>5.7459736216239843E-2</v>
      </c>
      <c r="L47" s="15">
        <f t="shared" si="3"/>
        <v>7.1824670270299804E-3</v>
      </c>
      <c r="M47" s="15">
        <f t="shared" si="4"/>
        <v>7.1824670270299804E-3</v>
      </c>
      <c r="N47" s="4">
        <f t="shared" si="5"/>
        <v>135526.9446611423</v>
      </c>
      <c r="O47" s="4">
        <f>N47*Nøgletal!$C$13</f>
        <v>137275.24224727103</v>
      </c>
    </row>
    <row r="48" spans="1:15" x14ac:dyDescent="0.25">
      <c r="A48" s="13" t="s">
        <v>48</v>
      </c>
      <c r="B48" s="3" t="s">
        <v>194</v>
      </c>
      <c r="C48" s="4" t="s">
        <v>725</v>
      </c>
      <c r="D48" s="4" t="s">
        <v>725</v>
      </c>
      <c r="E48" s="4" t="s">
        <v>725</v>
      </c>
      <c r="F48" s="4" t="s">
        <v>725</v>
      </c>
      <c r="G48" s="14">
        <v>0.82672264054706002</v>
      </c>
      <c r="H48" s="4" t="s">
        <v>725</v>
      </c>
      <c r="I48" s="4" t="s">
        <v>725</v>
      </c>
      <c r="J48" s="4" t="s">
        <v>725</v>
      </c>
      <c r="K48" s="15" t="s">
        <v>725</v>
      </c>
      <c r="L48" s="15" t="s">
        <v>725</v>
      </c>
      <c r="M48" s="15" t="s">
        <v>725</v>
      </c>
      <c r="N48" s="4" t="s">
        <v>725</v>
      </c>
      <c r="O48" s="4" t="s">
        <v>725</v>
      </c>
    </row>
    <row r="49" spans="1:15" x14ac:dyDescent="0.25">
      <c r="A49" s="13" t="s">
        <v>49</v>
      </c>
      <c r="B49" s="3" t="s">
        <v>195</v>
      </c>
      <c r="C49" s="4" t="s">
        <v>725</v>
      </c>
      <c r="D49" s="4" t="s">
        <v>725</v>
      </c>
      <c r="E49" s="4" t="s">
        <v>725</v>
      </c>
      <c r="F49" s="4" t="s">
        <v>725</v>
      </c>
      <c r="G49" s="14">
        <v>0.93688385534091301</v>
      </c>
      <c r="H49" s="4" t="s">
        <v>725</v>
      </c>
      <c r="I49" s="4" t="s">
        <v>725</v>
      </c>
      <c r="J49" s="4" t="s">
        <v>725</v>
      </c>
      <c r="K49" s="15" t="s">
        <v>725</v>
      </c>
      <c r="L49" s="15" t="s">
        <v>725</v>
      </c>
      <c r="M49" s="15" t="s">
        <v>725</v>
      </c>
      <c r="N49" s="4" t="s">
        <v>725</v>
      </c>
      <c r="O49" s="4" t="s">
        <v>725</v>
      </c>
    </row>
    <row r="50" spans="1:15" x14ac:dyDescent="0.25">
      <c r="A50" s="13" t="s">
        <v>50</v>
      </c>
      <c r="B50" s="3" t="s">
        <v>141</v>
      </c>
      <c r="C50" s="4" t="s">
        <v>725</v>
      </c>
      <c r="D50" s="4" t="s">
        <v>725</v>
      </c>
      <c r="E50" s="4" t="s">
        <v>725</v>
      </c>
      <c r="F50" s="4" t="s">
        <v>725</v>
      </c>
      <c r="G50" s="14">
        <v>0.70706845551242603</v>
      </c>
      <c r="H50" s="4" t="s">
        <v>725</v>
      </c>
      <c r="I50" s="4" t="s">
        <v>725</v>
      </c>
      <c r="J50" s="4" t="s">
        <v>725</v>
      </c>
      <c r="K50" s="15" t="s">
        <v>725</v>
      </c>
      <c r="L50" s="15" t="s">
        <v>725</v>
      </c>
      <c r="M50" s="15" t="s">
        <v>725</v>
      </c>
      <c r="N50" s="4" t="s">
        <v>725</v>
      </c>
      <c r="O50" s="4" t="s">
        <v>725</v>
      </c>
    </row>
    <row r="51" spans="1:15" x14ac:dyDescent="0.25">
      <c r="A51" s="13" t="s">
        <v>51</v>
      </c>
      <c r="B51" s="3" t="s">
        <v>142</v>
      </c>
      <c r="C51" s="4">
        <v>50947145.579519212</v>
      </c>
      <c r="D51" s="4">
        <f>(VLOOKUP(A51,'Netvolumenmål 2024'!A:L,12,0)*Nøgletal!$C$11+VLOOKUP(A51,'Netvolumenmål 2025'!A:L,12,0)-E51)/2+E51</f>
        <v>56318093.765456751</v>
      </c>
      <c r="E51" s="4">
        <v>0</v>
      </c>
      <c r="F51" s="4">
        <v>0</v>
      </c>
      <c r="G51" s="14">
        <v>0.84128399497724604</v>
      </c>
      <c r="H51" s="4">
        <f t="shared" si="0"/>
        <v>47379510.912506588</v>
      </c>
      <c r="I51" s="4">
        <f>H51*Nøgletal!$C$12</f>
        <v>48748778.777878024</v>
      </c>
      <c r="J51" s="4">
        <f t="shared" si="1"/>
        <v>2198366.8016411886</v>
      </c>
      <c r="K51" s="15">
        <f t="shared" si="2"/>
        <v>4.3149950338433357E-2</v>
      </c>
      <c r="L51" s="15">
        <f t="shared" si="3"/>
        <v>5.3937437923041696E-3</v>
      </c>
      <c r="M51" s="15">
        <f t="shared" si="4"/>
        <v>5.3937437923041696E-3</v>
      </c>
      <c r="N51" s="4">
        <f t="shared" si="5"/>
        <v>274795.85020514857</v>
      </c>
      <c r="O51" s="4">
        <f>N51*Nøgletal!$C$13</f>
        <v>278340.71667279495</v>
      </c>
    </row>
    <row r="52" spans="1:15" x14ac:dyDescent="0.25">
      <c r="A52" s="13" t="s">
        <v>52</v>
      </c>
      <c r="B52" s="3" t="s">
        <v>143</v>
      </c>
      <c r="C52" s="4" t="s">
        <v>725</v>
      </c>
      <c r="D52" s="4" t="s">
        <v>725</v>
      </c>
      <c r="E52" s="4" t="s">
        <v>725</v>
      </c>
      <c r="F52" s="4" t="s">
        <v>725</v>
      </c>
      <c r="G52" s="14">
        <v>0.84840391660695502</v>
      </c>
      <c r="H52" s="4" t="s">
        <v>725</v>
      </c>
      <c r="I52" s="4" t="s">
        <v>725</v>
      </c>
      <c r="J52" s="4" t="s">
        <v>725</v>
      </c>
      <c r="K52" s="15" t="s">
        <v>725</v>
      </c>
      <c r="L52" s="15" t="s">
        <v>725</v>
      </c>
      <c r="M52" s="15" t="s">
        <v>725</v>
      </c>
      <c r="N52" s="4" t="s">
        <v>725</v>
      </c>
      <c r="O52" s="4" t="s">
        <v>725</v>
      </c>
    </row>
    <row r="53" spans="1:15" x14ac:dyDescent="0.25">
      <c r="A53" s="13" t="s">
        <v>54</v>
      </c>
      <c r="B53" s="3" t="s">
        <v>144</v>
      </c>
      <c r="C53" s="4" t="s">
        <v>725</v>
      </c>
      <c r="D53" s="4" t="s">
        <v>725</v>
      </c>
      <c r="E53" s="4" t="s">
        <v>725</v>
      </c>
      <c r="F53" s="4" t="s">
        <v>725</v>
      </c>
      <c r="G53" s="14">
        <v>0.70316968906671895</v>
      </c>
      <c r="H53" s="4" t="s">
        <v>725</v>
      </c>
      <c r="I53" s="4" t="s">
        <v>725</v>
      </c>
      <c r="J53" s="4" t="s">
        <v>725</v>
      </c>
      <c r="K53" s="15" t="s">
        <v>725</v>
      </c>
      <c r="L53" s="15" t="s">
        <v>725</v>
      </c>
      <c r="M53" s="15" t="s">
        <v>725</v>
      </c>
      <c r="N53" s="4" t="s">
        <v>725</v>
      </c>
      <c r="O53" s="4" t="s">
        <v>725</v>
      </c>
    </row>
    <row r="54" spans="1:15" x14ac:dyDescent="0.25">
      <c r="A54" s="13" t="s">
        <v>55</v>
      </c>
      <c r="B54" s="3" t="s">
        <v>196</v>
      </c>
      <c r="C54" s="4">
        <v>12085327.501260063</v>
      </c>
      <c r="D54" s="4">
        <f>(VLOOKUP(A54,'Netvolumenmål 2024'!A:L,12,0)*Nøgletal!$C$11+VLOOKUP(A54,'Netvolumenmål 2025'!A:L,12,0)-E54)/2+E54</f>
        <v>15823889.130147692</v>
      </c>
      <c r="E54" s="4">
        <v>0</v>
      </c>
      <c r="F54" s="4">
        <v>0</v>
      </c>
      <c r="G54" s="14">
        <v>0.81265288051203499</v>
      </c>
      <c r="H54" s="4">
        <f t="shared" si="0"/>
        <v>12859329.082517602</v>
      </c>
      <c r="I54" s="4">
        <f>H54*Nøgletal!$C$12</f>
        <v>13230963.69300236</v>
      </c>
      <c r="J54" s="4">
        <f t="shared" si="1"/>
        <v>0</v>
      </c>
      <c r="K54" s="15">
        <f t="shared" si="2"/>
        <v>0</v>
      </c>
      <c r="L54" s="15">
        <f t="shared" si="3"/>
        <v>0</v>
      </c>
      <c r="M54" s="15">
        <f t="shared" si="4"/>
        <v>0</v>
      </c>
      <c r="N54" s="4">
        <f t="shared" si="5"/>
        <v>0</v>
      </c>
      <c r="O54" s="4">
        <f>N54*Nøgletal!$C$13</f>
        <v>0</v>
      </c>
    </row>
    <row r="55" spans="1:15" x14ac:dyDescent="0.25">
      <c r="A55" s="13" t="s">
        <v>56</v>
      </c>
      <c r="B55" s="3" t="s">
        <v>197</v>
      </c>
      <c r="C55" s="4" t="s">
        <v>725</v>
      </c>
      <c r="D55" s="4" t="s">
        <v>725</v>
      </c>
      <c r="E55" s="4" t="s">
        <v>725</v>
      </c>
      <c r="F55" s="4" t="s">
        <v>725</v>
      </c>
      <c r="G55" s="14">
        <v>0.97972269628154296</v>
      </c>
      <c r="H55" s="4" t="s">
        <v>725</v>
      </c>
      <c r="I55" s="4" t="s">
        <v>725</v>
      </c>
      <c r="J55" s="4" t="s">
        <v>725</v>
      </c>
      <c r="K55" s="15" t="s">
        <v>725</v>
      </c>
      <c r="L55" s="15" t="s">
        <v>725</v>
      </c>
      <c r="M55" s="15" t="s">
        <v>725</v>
      </c>
      <c r="N55" s="4" t="s">
        <v>725</v>
      </c>
      <c r="O55" s="4" t="s">
        <v>725</v>
      </c>
    </row>
    <row r="56" spans="1:15" x14ac:dyDescent="0.25">
      <c r="A56" s="13" t="s">
        <v>57</v>
      </c>
      <c r="B56" s="3" t="s">
        <v>145</v>
      </c>
      <c r="C56" s="4" t="s">
        <v>725</v>
      </c>
      <c r="D56" s="4" t="s">
        <v>725</v>
      </c>
      <c r="E56" s="4" t="s">
        <v>725</v>
      </c>
      <c r="F56" s="4" t="s">
        <v>725</v>
      </c>
      <c r="G56" s="14">
        <v>1</v>
      </c>
      <c r="H56" s="4" t="s">
        <v>725</v>
      </c>
      <c r="I56" s="4" t="s">
        <v>725</v>
      </c>
      <c r="J56" s="4" t="s">
        <v>725</v>
      </c>
      <c r="K56" s="15" t="s">
        <v>725</v>
      </c>
      <c r="L56" s="15" t="s">
        <v>725</v>
      </c>
      <c r="M56" s="15" t="s">
        <v>725</v>
      </c>
      <c r="N56" s="4" t="s">
        <v>725</v>
      </c>
      <c r="O56" s="4" t="s">
        <v>725</v>
      </c>
    </row>
    <row r="57" spans="1:15" x14ac:dyDescent="0.25">
      <c r="A57" s="13" t="s">
        <v>58</v>
      </c>
      <c r="B57" s="3" t="s">
        <v>198</v>
      </c>
      <c r="C57" s="4" t="s">
        <v>725</v>
      </c>
      <c r="D57" s="4" t="s">
        <v>725</v>
      </c>
      <c r="E57" s="4" t="s">
        <v>725</v>
      </c>
      <c r="F57" s="4" t="s">
        <v>725</v>
      </c>
      <c r="G57" s="14">
        <v>0.71723068424651404</v>
      </c>
      <c r="H57" s="4" t="s">
        <v>725</v>
      </c>
      <c r="I57" s="4" t="s">
        <v>725</v>
      </c>
      <c r="J57" s="4" t="s">
        <v>725</v>
      </c>
      <c r="K57" s="15" t="s">
        <v>725</v>
      </c>
      <c r="L57" s="15" t="s">
        <v>725</v>
      </c>
      <c r="M57" s="15" t="s">
        <v>725</v>
      </c>
      <c r="N57" s="4" t="s">
        <v>725</v>
      </c>
      <c r="O57" s="4" t="s">
        <v>725</v>
      </c>
    </row>
    <row r="58" spans="1:15" x14ac:dyDescent="0.25">
      <c r="A58" s="13" t="s">
        <v>59</v>
      </c>
      <c r="B58" s="3" t="s">
        <v>146</v>
      </c>
      <c r="C58" s="4" t="s">
        <v>725</v>
      </c>
      <c r="D58" s="4" t="s">
        <v>725</v>
      </c>
      <c r="E58" s="4" t="s">
        <v>725</v>
      </c>
      <c r="F58" s="4" t="s">
        <v>725</v>
      </c>
      <c r="G58" s="14">
        <v>0.83685466175283396</v>
      </c>
      <c r="H58" s="4" t="s">
        <v>725</v>
      </c>
      <c r="I58" s="4" t="s">
        <v>725</v>
      </c>
      <c r="J58" s="4" t="s">
        <v>725</v>
      </c>
      <c r="K58" s="15" t="s">
        <v>725</v>
      </c>
      <c r="L58" s="15" t="s">
        <v>725</v>
      </c>
      <c r="M58" s="15" t="s">
        <v>725</v>
      </c>
      <c r="N58" s="4" t="s">
        <v>725</v>
      </c>
      <c r="O58" s="4" t="s">
        <v>725</v>
      </c>
    </row>
    <row r="59" spans="1:15" x14ac:dyDescent="0.25">
      <c r="A59" s="13" t="s">
        <v>60</v>
      </c>
      <c r="B59" s="3" t="s">
        <v>199</v>
      </c>
      <c r="C59" s="4" t="s">
        <v>725</v>
      </c>
      <c r="D59" s="4" t="s">
        <v>725</v>
      </c>
      <c r="E59" s="4" t="s">
        <v>725</v>
      </c>
      <c r="F59" s="4" t="s">
        <v>725</v>
      </c>
      <c r="G59" s="14">
        <v>0.77624567535403299</v>
      </c>
      <c r="H59" s="4" t="s">
        <v>725</v>
      </c>
      <c r="I59" s="4" t="s">
        <v>725</v>
      </c>
      <c r="J59" s="4" t="s">
        <v>725</v>
      </c>
      <c r="K59" s="15" t="s">
        <v>725</v>
      </c>
      <c r="L59" s="15" t="s">
        <v>725</v>
      </c>
      <c r="M59" s="15" t="s">
        <v>725</v>
      </c>
      <c r="N59" s="4" t="s">
        <v>725</v>
      </c>
      <c r="O59" s="4" t="s">
        <v>725</v>
      </c>
    </row>
    <row r="60" spans="1:15" x14ac:dyDescent="0.25">
      <c r="A60" s="13" t="s">
        <v>61</v>
      </c>
      <c r="B60" s="3" t="s">
        <v>147</v>
      </c>
      <c r="C60" s="4">
        <v>13164764.155163886</v>
      </c>
      <c r="D60" s="4">
        <f>(VLOOKUP(A60,'Netvolumenmål 2024'!A:L,12,0)*Nøgletal!$C$11+VLOOKUP(A60,'Netvolumenmål 2025'!A:L,12,0)-E60)/2+E60</f>
        <v>16443260.138479602</v>
      </c>
      <c r="E60" s="4">
        <v>0</v>
      </c>
      <c r="F60" s="4">
        <v>0</v>
      </c>
      <c r="G60" s="14">
        <v>0.73652554729122699</v>
      </c>
      <c r="H60" s="4">
        <f t="shared" si="0"/>
        <v>12110881.172745705</v>
      </c>
      <c r="I60" s="4">
        <f>H60*Nøgletal!$C$12</f>
        <v>12460885.638638055</v>
      </c>
      <c r="J60" s="4">
        <f t="shared" si="1"/>
        <v>703878.51652583107</v>
      </c>
      <c r="K60" s="15">
        <f t="shared" si="2"/>
        <v>5.3466853506048899E-2</v>
      </c>
      <c r="L60" s="15">
        <f t="shared" si="3"/>
        <v>6.6833566882561124E-3</v>
      </c>
      <c r="M60" s="15">
        <f t="shared" si="4"/>
        <v>6.6833566882561124E-3</v>
      </c>
      <c r="N60" s="4">
        <f t="shared" si="5"/>
        <v>87984.814565728884</v>
      </c>
      <c r="O60" s="4">
        <f>N60*Nøgletal!$C$13</f>
        <v>89119.818673626782</v>
      </c>
    </row>
    <row r="61" spans="1:15" x14ac:dyDescent="0.25">
      <c r="A61" s="13" t="s">
        <v>62</v>
      </c>
      <c r="B61" s="3" t="s">
        <v>200</v>
      </c>
      <c r="C61" s="4">
        <v>33153677.699906886</v>
      </c>
      <c r="D61" s="4">
        <f>(VLOOKUP(A61,'Netvolumenmål 2024'!A:L,12,0)*Nøgletal!$C$11+VLOOKUP(A61,'Netvolumenmål 2025'!A:L,12,0)-E61)/2+E61</f>
        <v>36867208.347392172</v>
      </c>
      <c r="E61" s="4">
        <v>80370</v>
      </c>
      <c r="F61" s="4">
        <v>0</v>
      </c>
      <c r="G61" s="14">
        <v>0.725101727176372</v>
      </c>
      <c r="H61" s="4">
        <f t="shared" si="0"/>
        <v>26732476.448865224</v>
      </c>
      <c r="I61" s="4">
        <f>H61*Nøgletal!$C$12</f>
        <v>27505045.018237427</v>
      </c>
      <c r="J61" s="4">
        <f t="shared" si="1"/>
        <v>5648632.6816694587</v>
      </c>
      <c r="K61" s="15">
        <f t="shared" si="2"/>
        <v>0.17037725747346949</v>
      </c>
      <c r="L61" s="15">
        <f t="shared" si="3"/>
        <v>2.1297157184183686E-2</v>
      </c>
      <c r="M61" s="15">
        <f t="shared" si="4"/>
        <v>0.02</v>
      </c>
      <c r="N61" s="4">
        <f t="shared" si="5"/>
        <v>663073.55399813771</v>
      </c>
      <c r="O61" s="4">
        <f>N61*Nøgletal!$C$13</f>
        <v>671627.20284471358</v>
      </c>
    </row>
    <row r="62" spans="1:15" x14ac:dyDescent="0.25">
      <c r="A62" s="13" t="s">
        <v>63</v>
      </c>
      <c r="B62" s="3" t="s">
        <v>201</v>
      </c>
      <c r="C62" s="4" t="s">
        <v>725</v>
      </c>
      <c r="D62" s="4" t="s">
        <v>725</v>
      </c>
      <c r="E62" s="4" t="s">
        <v>725</v>
      </c>
      <c r="F62" s="4" t="s">
        <v>725</v>
      </c>
      <c r="G62" s="14">
        <v>0.88872911060882698</v>
      </c>
      <c r="H62" s="4" t="s">
        <v>725</v>
      </c>
      <c r="I62" s="4" t="s">
        <v>725</v>
      </c>
      <c r="J62" s="4" t="s">
        <v>725</v>
      </c>
      <c r="K62" s="15" t="s">
        <v>725</v>
      </c>
      <c r="L62" s="15" t="s">
        <v>725</v>
      </c>
      <c r="M62" s="15" t="s">
        <v>725</v>
      </c>
      <c r="N62" s="4" t="s">
        <v>725</v>
      </c>
      <c r="O62" s="4" t="s">
        <v>725</v>
      </c>
    </row>
    <row r="63" spans="1:15" x14ac:dyDescent="0.25">
      <c r="A63" s="13" t="s">
        <v>64</v>
      </c>
      <c r="B63" s="3" t="s">
        <v>202</v>
      </c>
      <c r="C63" s="4" t="s">
        <v>725</v>
      </c>
      <c r="D63" s="4" t="s">
        <v>725</v>
      </c>
      <c r="E63" s="4" t="s">
        <v>725</v>
      </c>
      <c r="F63" s="4" t="s">
        <v>725</v>
      </c>
      <c r="G63" s="14">
        <v>0.76377773920000003</v>
      </c>
      <c r="H63" s="4" t="s">
        <v>725</v>
      </c>
      <c r="I63" s="4" t="s">
        <v>725</v>
      </c>
      <c r="J63" s="4" t="s">
        <v>725</v>
      </c>
      <c r="K63" s="15" t="s">
        <v>725</v>
      </c>
      <c r="L63" s="15" t="s">
        <v>725</v>
      </c>
      <c r="M63" s="15" t="s">
        <v>725</v>
      </c>
      <c r="N63" s="4" t="s">
        <v>725</v>
      </c>
      <c r="O63" s="4" t="s">
        <v>725</v>
      </c>
    </row>
    <row r="64" spans="1:15" x14ac:dyDescent="0.25">
      <c r="A64" s="13" t="s">
        <v>65</v>
      </c>
      <c r="B64" s="3" t="s">
        <v>203</v>
      </c>
      <c r="C64" s="4" t="s">
        <v>725</v>
      </c>
      <c r="D64" s="4" t="s">
        <v>725</v>
      </c>
      <c r="E64" s="4" t="s">
        <v>725</v>
      </c>
      <c r="F64" s="4" t="s">
        <v>725</v>
      </c>
      <c r="G64" s="14">
        <v>0.70541447026000004</v>
      </c>
      <c r="H64" s="4" t="s">
        <v>725</v>
      </c>
      <c r="I64" s="4" t="s">
        <v>725</v>
      </c>
      <c r="J64" s="4" t="s">
        <v>725</v>
      </c>
      <c r="K64" s="15" t="s">
        <v>725</v>
      </c>
      <c r="L64" s="15" t="s">
        <v>725</v>
      </c>
      <c r="M64" s="15" t="s">
        <v>725</v>
      </c>
      <c r="N64" s="4" t="s">
        <v>725</v>
      </c>
      <c r="O64" s="4" t="s">
        <v>725</v>
      </c>
    </row>
    <row r="65" spans="1:15" x14ac:dyDescent="0.25">
      <c r="A65" s="13" t="s">
        <v>66</v>
      </c>
      <c r="B65" s="3" t="s">
        <v>204</v>
      </c>
      <c r="C65" s="4" t="s">
        <v>725</v>
      </c>
      <c r="D65" s="4" t="s">
        <v>725</v>
      </c>
      <c r="E65" s="4" t="s">
        <v>725</v>
      </c>
      <c r="F65" s="4" t="s">
        <v>725</v>
      </c>
      <c r="G65" s="14">
        <v>0.85296587180349803</v>
      </c>
      <c r="H65" s="4" t="s">
        <v>725</v>
      </c>
      <c r="I65" s="4" t="s">
        <v>725</v>
      </c>
      <c r="J65" s="4" t="s">
        <v>725</v>
      </c>
      <c r="K65" s="15" t="s">
        <v>725</v>
      </c>
      <c r="L65" s="15" t="s">
        <v>725</v>
      </c>
      <c r="M65" s="15" t="s">
        <v>725</v>
      </c>
      <c r="N65" s="4" t="s">
        <v>725</v>
      </c>
      <c r="O65" s="4" t="s">
        <v>725</v>
      </c>
    </row>
    <row r="66" spans="1:15" x14ac:dyDescent="0.25">
      <c r="A66" s="13" t="s">
        <v>67</v>
      </c>
      <c r="B66" s="3" t="s">
        <v>148</v>
      </c>
      <c r="C66" s="4">
        <v>22238930.155464474</v>
      </c>
      <c r="D66" s="4">
        <f>(VLOOKUP(A66,'Netvolumenmål 2024'!A:L,12,0)*Nøgletal!$C$11+VLOOKUP(A66,'Netvolumenmål 2025'!A:L,12,0)-E66)/2+E66</f>
        <v>25764426.032212757</v>
      </c>
      <c r="E66" s="4">
        <v>-306916.32789999997</v>
      </c>
      <c r="F66" s="4">
        <v>197847.54053381312</v>
      </c>
      <c r="G66" s="14">
        <v>0.79544931353306103</v>
      </c>
      <c r="H66" s="4">
        <f t="shared" si="0"/>
        <v>20651672.691198792</v>
      </c>
      <c r="I66" s="4">
        <f>H66*Nøgletal!$C$12</f>
        <v>21248506.031974435</v>
      </c>
      <c r="J66" s="4">
        <f t="shared" si="1"/>
        <v>990424.12349003926</v>
      </c>
      <c r="K66" s="15">
        <f t="shared" si="2"/>
        <v>4.453560115375764E-2</v>
      </c>
      <c r="L66" s="15">
        <f t="shared" si="3"/>
        <v>5.566950144219705E-3</v>
      </c>
      <c r="M66" s="15">
        <f t="shared" si="4"/>
        <v>5.566950144219705E-3</v>
      </c>
      <c r="N66" s="4">
        <f t="shared" si="5"/>
        <v>123803.01543625489</v>
      </c>
      <c r="O66" s="4">
        <f>N66*Nøgletal!$C$13</f>
        <v>125400.07433538257</v>
      </c>
    </row>
    <row r="67" spans="1:15" x14ac:dyDescent="0.25">
      <c r="A67" s="13" t="s">
        <v>68</v>
      </c>
      <c r="B67" s="3" t="s">
        <v>149</v>
      </c>
      <c r="C67" s="4" t="s">
        <v>725</v>
      </c>
      <c r="D67" s="4" t="s">
        <v>725</v>
      </c>
      <c r="E67" s="4" t="s">
        <v>725</v>
      </c>
      <c r="F67" s="4" t="s">
        <v>725</v>
      </c>
      <c r="G67" s="14">
        <v>0.85584003629984196</v>
      </c>
      <c r="H67" s="4" t="s">
        <v>725</v>
      </c>
      <c r="I67" s="4" t="s">
        <v>725</v>
      </c>
      <c r="J67" s="4" t="s">
        <v>725</v>
      </c>
      <c r="K67" s="15" t="s">
        <v>725</v>
      </c>
      <c r="L67" s="15" t="s">
        <v>725</v>
      </c>
      <c r="M67" s="15" t="s">
        <v>725</v>
      </c>
      <c r="N67" s="4" t="s">
        <v>725</v>
      </c>
      <c r="O67" s="4" t="s">
        <v>725</v>
      </c>
    </row>
    <row r="68" spans="1:15" x14ac:dyDescent="0.25">
      <c r="A68" s="13" t="s">
        <v>69</v>
      </c>
      <c r="B68" s="3" t="s">
        <v>150</v>
      </c>
      <c r="C68" s="4">
        <v>20959479.770606808</v>
      </c>
      <c r="D68" s="4">
        <f>(VLOOKUP(A68,'Netvolumenmål 2024'!A:L,12,0)*Nøgletal!$C$11+VLOOKUP(A68,'Netvolumenmål 2025'!A:L,12,0)-E68)/2+E68</f>
        <v>24354267.41580905</v>
      </c>
      <c r="E68" s="4">
        <v>-339741.06540000002</v>
      </c>
      <c r="F68" s="4">
        <v>0</v>
      </c>
      <c r="G68" s="14">
        <v>0.72662867634999995</v>
      </c>
      <c r="H68" s="4">
        <f t="shared" ref="H67:H76" si="6">(D68+F68)*G68</f>
        <v>17696509.095823266</v>
      </c>
      <c r="I68" s="4">
        <f>H68*Nøgletal!$C$12</f>
        <v>18207938.208692558</v>
      </c>
      <c r="J68" s="4">
        <f t="shared" ref="J67:J76" si="7">IF(C68&gt;I68,C68-I68,0)</f>
        <v>2751541.5619142503</v>
      </c>
      <c r="K68" s="15">
        <f t="shared" ref="K67:K76" si="8">J68/C68</f>
        <v>0.13127909623849357</v>
      </c>
      <c r="L68" s="15">
        <f t="shared" ref="L67:L76" si="9">K68/8</f>
        <v>1.6409887029811696E-2</v>
      </c>
      <c r="M68" s="15">
        <f t="shared" ref="M67:M76" si="10">MIN(L68,0.02)</f>
        <v>1.6409887029811696E-2</v>
      </c>
      <c r="N68" s="4">
        <f t="shared" ref="N67:N76" si="11">M68*C68</f>
        <v>343942.69523928128</v>
      </c>
      <c r="O68" s="4">
        <f>N68*Nøgletal!$C$13</f>
        <v>348379.55600786797</v>
      </c>
    </row>
    <row r="69" spans="1:15" x14ac:dyDescent="0.25">
      <c r="A69" s="13" t="s">
        <v>70</v>
      </c>
      <c r="B69" s="3" t="s">
        <v>205</v>
      </c>
      <c r="C69" s="4" t="s">
        <v>725</v>
      </c>
      <c r="D69" s="4" t="s">
        <v>725</v>
      </c>
      <c r="E69" s="4" t="s">
        <v>725</v>
      </c>
      <c r="F69" s="4" t="s">
        <v>725</v>
      </c>
      <c r="G69" s="14">
        <v>1</v>
      </c>
      <c r="H69" s="4" t="s">
        <v>725</v>
      </c>
      <c r="I69" s="4" t="s">
        <v>725</v>
      </c>
      <c r="J69" s="4" t="s">
        <v>725</v>
      </c>
      <c r="K69" s="15" t="s">
        <v>725</v>
      </c>
      <c r="L69" s="15" t="s">
        <v>725</v>
      </c>
      <c r="M69" s="15" t="s">
        <v>725</v>
      </c>
      <c r="N69" s="4" t="s">
        <v>725</v>
      </c>
      <c r="O69" s="4" t="s">
        <v>725</v>
      </c>
    </row>
    <row r="70" spans="1:15" x14ac:dyDescent="0.25">
      <c r="A70" s="13" t="s">
        <v>72</v>
      </c>
      <c r="B70" s="3" t="s">
        <v>71</v>
      </c>
      <c r="C70" s="4">
        <v>9172641.5642266665</v>
      </c>
      <c r="D70" s="4">
        <f>(VLOOKUP(A70,'Netvolumenmål 2024'!A:L,12,0)*Nøgletal!$C$11+VLOOKUP(A70,'Netvolumenmål 2025'!A:L,12,0)-E70)/2+E70</f>
        <v>6830779.3703461494</v>
      </c>
      <c r="E70" s="4">
        <v>0</v>
      </c>
      <c r="F70" s="4">
        <v>0</v>
      </c>
      <c r="G70" s="14">
        <v>1</v>
      </c>
      <c r="H70" s="4">
        <f t="shared" si="6"/>
        <v>6830779.3703461494</v>
      </c>
      <c r="I70" s="4">
        <f>H70*Nøgletal!$C$12</f>
        <v>7028188.8941491526</v>
      </c>
      <c r="J70" s="4">
        <f t="shared" si="7"/>
        <v>2144452.6700775139</v>
      </c>
      <c r="K70" s="15">
        <f t="shared" si="8"/>
        <v>0.2337879066855601</v>
      </c>
      <c r="L70" s="15">
        <f t="shared" si="9"/>
        <v>2.9223488335695012E-2</v>
      </c>
      <c r="M70" s="15">
        <f t="shared" si="10"/>
        <v>0.02</v>
      </c>
      <c r="N70" s="4">
        <f t="shared" si="11"/>
        <v>183452.83128453334</v>
      </c>
      <c r="O70" s="4">
        <f>N70*Nøgletal!$C$13</f>
        <v>185819.3728081038</v>
      </c>
    </row>
    <row r="71" spans="1:15" x14ac:dyDescent="0.25">
      <c r="A71" s="13" t="s">
        <v>73</v>
      </c>
      <c r="B71" s="3" t="s">
        <v>206</v>
      </c>
      <c r="C71" s="4" t="s">
        <v>725</v>
      </c>
      <c r="D71" s="4" t="s">
        <v>725</v>
      </c>
      <c r="E71" s="4" t="s">
        <v>725</v>
      </c>
      <c r="F71" s="4" t="s">
        <v>725</v>
      </c>
      <c r="G71" s="14">
        <v>0.90475409713719701</v>
      </c>
      <c r="H71" s="4" t="s">
        <v>725</v>
      </c>
      <c r="I71" s="4" t="s">
        <v>725</v>
      </c>
      <c r="J71" s="4" t="s">
        <v>725</v>
      </c>
      <c r="K71" s="15" t="s">
        <v>725</v>
      </c>
      <c r="L71" s="15" t="s">
        <v>725</v>
      </c>
      <c r="M71" s="15" t="s">
        <v>725</v>
      </c>
      <c r="N71" s="4" t="s">
        <v>725</v>
      </c>
      <c r="O71" s="4" t="s">
        <v>725</v>
      </c>
    </row>
    <row r="72" spans="1:15" x14ac:dyDescent="0.25">
      <c r="A72" s="13" t="s">
        <v>74</v>
      </c>
      <c r="B72" s="3" t="s">
        <v>151</v>
      </c>
      <c r="C72" s="4" t="s">
        <v>725</v>
      </c>
      <c r="D72" s="4" t="s">
        <v>725</v>
      </c>
      <c r="E72" s="4" t="s">
        <v>725</v>
      </c>
      <c r="F72" s="4" t="s">
        <v>725</v>
      </c>
      <c r="G72" s="14">
        <v>1</v>
      </c>
      <c r="H72" s="4" t="s">
        <v>725</v>
      </c>
      <c r="I72" s="4" t="s">
        <v>725</v>
      </c>
      <c r="J72" s="4" t="s">
        <v>725</v>
      </c>
      <c r="K72" s="15" t="s">
        <v>725</v>
      </c>
      <c r="L72" s="15" t="s">
        <v>725</v>
      </c>
      <c r="M72" s="15" t="s">
        <v>725</v>
      </c>
      <c r="N72" s="4" t="s">
        <v>725</v>
      </c>
      <c r="O72" s="4" t="s">
        <v>725</v>
      </c>
    </row>
    <row r="73" spans="1:15" x14ac:dyDescent="0.25">
      <c r="A73" s="13" t="s">
        <v>75</v>
      </c>
      <c r="B73" s="3" t="s">
        <v>207</v>
      </c>
      <c r="C73" s="4">
        <v>52420803.885354944</v>
      </c>
      <c r="D73" s="4">
        <f>(VLOOKUP(A73,'Netvolumenmål 2024'!A:L,12,0)*Nøgletal!$C$11+VLOOKUP(A73,'Netvolumenmål 2025'!A:L,12,0)-E73)/2+E73</f>
        <v>51481640.312048674</v>
      </c>
      <c r="E73" s="4">
        <v>0</v>
      </c>
      <c r="F73" s="4">
        <v>0</v>
      </c>
      <c r="G73" s="14">
        <v>0.84051066082297299</v>
      </c>
      <c r="H73" s="4">
        <f t="shared" si="6"/>
        <v>43270867.518930636</v>
      </c>
      <c r="I73" s="4">
        <f>H73*Nøgletal!$C$12</f>
        <v>44521395.590227731</v>
      </c>
      <c r="J73" s="4">
        <f t="shared" si="7"/>
        <v>7899408.295127213</v>
      </c>
      <c r="K73" s="15">
        <f t="shared" si="8"/>
        <v>0.15069223876084262</v>
      </c>
      <c r="L73" s="15">
        <f t="shared" si="9"/>
        <v>1.8836529845105327E-2</v>
      </c>
      <c r="M73" s="15">
        <f t="shared" si="10"/>
        <v>1.8836529845105327E-2</v>
      </c>
      <c r="N73" s="4">
        <f t="shared" si="11"/>
        <v>987426.03689090174</v>
      </c>
      <c r="O73" s="4">
        <f>N73*Nøgletal!$C$13</f>
        <v>1000163.8327667943</v>
      </c>
    </row>
    <row r="74" spans="1:15" x14ac:dyDescent="0.25">
      <c r="A74" s="13" t="s">
        <v>76</v>
      </c>
      <c r="B74" s="3" t="s">
        <v>208</v>
      </c>
      <c r="C74" s="4" t="s">
        <v>725</v>
      </c>
      <c r="D74" s="4" t="s">
        <v>725</v>
      </c>
      <c r="E74" s="4" t="s">
        <v>725</v>
      </c>
      <c r="F74" s="4" t="s">
        <v>725</v>
      </c>
      <c r="G74" s="14">
        <v>0.79672901823156606</v>
      </c>
      <c r="H74" s="4" t="s">
        <v>725</v>
      </c>
      <c r="I74" s="4" t="s">
        <v>725</v>
      </c>
      <c r="J74" s="4" t="s">
        <v>725</v>
      </c>
      <c r="K74" s="15" t="s">
        <v>725</v>
      </c>
      <c r="L74" s="15" t="s">
        <v>725</v>
      </c>
      <c r="M74" s="15" t="s">
        <v>725</v>
      </c>
      <c r="N74" s="4" t="s">
        <v>725</v>
      </c>
      <c r="O74" s="4" t="s">
        <v>725</v>
      </c>
    </row>
    <row r="75" spans="1:15" x14ac:dyDescent="0.25">
      <c r="A75" s="13" t="s">
        <v>77</v>
      </c>
      <c r="B75" s="3" t="s">
        <v>152</v>
      </c>
      <c r="C75" s="4">
        <v>79834279.378292695</v>
      </c>
      <c r="D75" s="4">
        <f>(VLOOKUP(A75,'Netvolumenmål 2024'!A:L,12,0)*Nøgletal!$C$11+VLOOKUP(A75,'Netvolumenmål 2025'!A:L,12,0)-E75)/2+E75</f>
        <v>88606221.873893499</v>
      </c>
      <c r="E75" s="4">
        <v>1545409.578</v>
      </c>
      <c r="F75" s="4">
        <v>0</v>
      </c>
      <c r="G75" s="14">
        <v>1</v>
      </c>
      <c r="H75" s="4">
        <f t="shared" si="6"/>
        <v>88606221.873893499</v>
      </c>
      <c r="I75" s="4">
        <f>H75*Nøgletal!$C$12</f>
        <v>91166941.686049014</v>
      </c>
      <c r="J75" s="4">
        <f t="shared" si="7"/>
        <v>0</v>
      </c>
      <c r="K75" s="15">
        <f t="shared" si="8"/>
        <v>0</v>
      </c>
      <c r="L75" s="15">
        <f t="shared" si="9"/>
        <v>0</v>
      </c>
      <c r="M75" s="15">
        <f t="shared" si="10"/>
        <v>0</v>
      </c>
      <c r="N75" s="4">
        <f t="shared" si="11"/>
        <v>0</v>
      </c>
      <c r="O75" s="4">
        <f>N75*Nøgletal!$C$13</f>
        <v>0</v>
      </c>
    </row>
    <row r="76" spans="1:15" x14ac:dyDescent="0.25">
      <c r="A76" s="13" t="s">
        <v>78</v>
      </c>
      <c r="B76" s="3" t="s">
        <v>209</v>
      </c>
      <c r="C76" s="4" t="s">
        <v>725</v>
      </c>
      <c r="D76" s="4" t="s">
        <v>725</v>
      </c>
      <c r="E76" s="4" t="s">
        <v>725</v>
      </c>
      <c r="F76" s="4" t="s">
        <v>725</v>
      </c>
      <c r="G76" s="14">
        <v>1</v>
      </c>
      <c r="H76" s="4" t="s">
        <v>725</v>
      </c>
      <c r="I76" s="4" t="s">
        <v>725</v>
      </c>
      <c r="J76" s="4" t="s">
        <v>725</v>
      </c>
      <c r="K76" s="15" t="s">
        <v>725</v>
      </c>
      <c r="L76" s="15" t="s">
        <v>725</v>
      </c>
      <c r="M76" s="15" t="s">
        <v>725</v>
      </c>
      <c r="N76" s="4" t="s">
        <v>725</v>
      </c>
      <c r="O76" s="4" t="s">
        <v>725</v>
      </c>
    </row>
  </sheetData>
  <pageMargins left="0.7" right="0.7" top="0.75" bottom="0.75" header="0.3" footer="0.3"/>
  <pageSetup paperSize="9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NVM_gns">
    <pageSetUpPr fitToPage="1"/>
  </sheetPr>
  <dimension ref="A1:R80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bestFit="1" customWidth="1"/>
    <col min="2" max="2" width="35.85546875" bestFit="1" customWidth="1"/>
    <col min="3" max="3" width="6.140625" bestFit="1" customWidth="1"/>
    <col min="4" max="4" width="33.140625" bestFit="1" customWidth="1"/>
    <col min="5" max="5" width="32.5703125" bestFit="1" customWidth="1"/>
    <col min="6" max="6" width="33.85546875" bestFit="1" customWidth="1"/>
    <col min="7" max="7" width="11.28515625" bestFit="1" customWidth="1"/>
    <col min="8" max="8" width="24.85546875" bestFit="1" customWidth="1"/>
    <col min="9" max="9" width="42.140625" bestFit="1" customWidth="1"/>
    <col min="10" max="10" width="27.42578125" bestFit="1" customWidth="1"/>
    <col min="11" max="11" width="27.85546875" bestFit="1" customWidth="1"/>
    <col min="12" max="12" width="74.140625" bestFit="1" customWidth="1"/>
    <col min="13" max="13" width="14.42578125" bestFit="1" customWidth="1"/>
    <col min="14" max="14" width="34.5703125" bestFit="1" customWidth="1"/>
    <col min="15" max="15" width="36.42578125" bestFit="1" customWidth="1"/>
    <col min="16" max="16" width="21.42578125" bestFit="1" customWidth="1"/>
    <col min="17" max="17" width="58.140625" bestFit="1" customWidth="1"/>
    <col min="18" max="18" width="36.28515625" bestFit="1" customWidth="1"/>
    <col min="19" max="19" width="21.5703125" customWidth="1"/>
  </cols>
  <sheetData>
    <row r="1" spans="1:18" ht="39.75" thickBot="1" x14ac:dyDescent="0.3">
      <c r="A1" s="2" t="s">
        <v>104</v>
      </c>
      <c r="B1" s="2" t="s">
        <v>0</v>
      </c>
      <c r="C1" s="2" t="s">
        <v>116</v>
      </c>
      <c r="D1" s="2" t="s">
        <v>122</v>
      </c>
      <c r="E1" s="2" t="s">
        <v>721</v>
      </c>
      <c r="F1" s="2" t="s">
        <v>722</v>
      </c>
      <c r="G1" s="2" t="s">
        <v>117</v>
      </c>
      <c r="H1" s="2" t="s">
        <v>723</v>
      </c>
      <c r="I1" s="2" t="s">
        <v>105</v>
      </c>
      <c r="J1" s="2" t="s">
        <v>119</v>
      </c>
      <c r="K1" s="2" t="s">
        <v>118</v>
      </c>
      <c r="L1" s="2" t="s">
        <v>257</v>
      </c>
      <c r="M1" s="2" t="s">
        <v>106</v>
      </c>
      <c r="N1" s="2" t="s">
        <v>258</v>
      </c>
      <c r="O1" s="2" t="s">
        <v>259</v>
      </c>
      <c r="P1" s="2" t="s">
        <v>120</v>
      </c>
      <c r="Q1" s="2" t="s">
        <v>121</v>
      </c>
      <c r="R1" s="2" t="s">
        <v>681</v>
      </c>
    </row>
    <row r="2" spans="1:18" x14ac:dyDescent="0.25">
      <c r="A2" s="5" t="s">
        <v>1</v>
      </c>
      <c r="B2" s="5" t="s">
        <v>127</v>
      </c>
      <c r="C2" s="6">
        <v>37.760434500000002</v>
      </c>
      <c r="D2" s="7">
        <v>2.7771084671024331E-2</v>
      </c>
      <c r="E2" s="8">
        <v>6145195.0469825845</v>
      </c>
      <c r="F2" s="8">
        <v>8791723.4793327041</v>
      </c>
      <c r="G2" s="8">
        <v>4736003.4741000002</v>
      </c>
      <c r="H2" s="8">
        <v>5163425.8456504997</v>
      </c>
      <c r="I2" s="8">
        <v>0</v>
      </c>
      <c r="J2" s="8">
        <v>3726838.0645504156</v>
      </c>
      <c r="K2" s="8">
        <v>8890263.9102009162</v>
      </c>
      <c r="L2" s="8">
        <v>13626267.384300917</v>
      </c>
      <c r="M2" s="8">
        <v>0</v>
      </c>
      <c r="N2" s="8">
        <v>0</v>
      </c>
      <c r="O2" s="8">
        <v>0</v>
      </c>
      <c r="P2" s="8">
        <v>4736003.4741000002</v>
      </c>
      <c r="Q2" s="8">
        <v>8890263.9102009162</v>
      </c>
      <c r="R2" s="8">
        <v>13626267.384300917</v>
      </c>
    </row>
    <row r="3" spans="1:18" x14ac:dyDescent="0.25">
      <c r="A3" s="5" t="s">
        <v>2</v>
      </c>
      <c r="B3" s="5" t="s">
        <v>166</v>
      </c>
      <c r="C3" s="6">
        <v>40.842275000000001</v>
      </c>
      <c r="D3" s="7">
        <v>7.556394603365521E-2</v>
      </c>
      <c r="E3" s="8">
        <v>4972755.9645995926</v>
      </c>
      <c r="F3" s="8">
        <v>6482563.554549519</v>
      </c>
      <c r="G3" s="8">
        <v>9029796.1900999993</v>
      </c>
      <c r="H3" s="8">
        <v>3872769.5349150002</v>
      </c>
      <c r="I3" s="8">
        <v>522470.65045000002</v>
      </c>
      <c r="J3" s="8">
        <v>2672508.6280759443</v>
      </c>
      <c r="K3" s="8">
        <v>7067748.8134409441</v>
      </c>
      <c r="L3" s="8">
        <v>16097545.003540944</v>
      </c>
      <c r="M3" s="8">
        <v>0</v>
      </c>
      <c r="N3" s="8">
        <v>0</v>
      </c>
      <c r="O3" s="8">
        <v>0</v>
      </c>
      <c r="P3" s="8">
        <v>9029796.1900999993</v>
      </c>
      <c r="Q3" s="8">
        <v>7067748.8134409441</v>
      </c>
      <c r="R3" s="8">
        <v>16097545.003540944</v>
      </c>
    </row>
    <row r="4" spans="1:18" x14ac:dyDescent="0.25">
      <c r="A4" s="5" t="s">
        <v>3</v>
      </c>
      <c r="B4" s="5" t="s">
        <v>167</v>
      </c>
      <c r="C4" s="6">
        <v>39.959569000000002</v>
      </c>
      <c r="D4" s="7">
        <v>2.5588049621031617E-2</v>
      </c>
      <c r="E4" s="8">
        <v>6653995.9150139336</v>
      </c>
      <c r="F4" s="8">
        <v>17603501.506379791</v>
      </c>
      <c r="G4" s="8">
        <v>15162314.907400001</v>
      </c>
      <c r="H4" s="8">
        <v>10830939.884528</v>
      </c>
      <c r="I4" s="8">
        <v>262950.1594</v>
      </c>
      <c r="J4" s="8">
        <v>3525900.0562802493</v>
      </c>
      <c r="K4" s="8">
        <v>14619790.100208249</v>
      </c>
      <c r="L4" s="8">
        <v>29782105.00760825</v>
      </c>
      <c r="M4" s="8">
        <v>0</v>
      </c>
      <c r="N4" s="8">
        <v>0</v>
      </c>
      <c r="O4" s="8">
        <v>0</v>
      </c>
      <c r="P4" s="8">
        <v>15162314.907400001</v>
      </c>
      <c r="Q4" s="8">
        <v>14619790.100208249</v>
      </c>
      <c r="R4" s="8">
        <v>29782105.00760825</v>
      </c>
    </row>
    <row r="5" spans="1:18" x14ac:dyDescent="0.25">
      <c r="A5" s="5" t="s">
        <v>114</v>
      </c>
      <c r="B5" s="5" t="s">
        <v>128</v>
      </c>
      <c r="C5" s="6">
        <v>40.022379999999998</v>
      </c>
      <c r="D5" s="7">
        <v>1.8723267104780596E-2</v>
      </c>
      <c r="E5" s="8">
        <v>3652412.4065506458</v>
      </c>
      <c r="F5" s="8">
        <v>5130664.8557332549</v>
      </c>
      <c r="G5" s="8">
        <v>5093448.5482999999</v>
      </c>
      <c r="H5" s="8">
        <v>3165413.7420960004</v>
      </c>
      <c r="I5" s="8">
        <v>191</v>
      </c>
      <c r="J5" s="8">
        <v>1070029.2372044786</v>
      </c>
      <c r="K5" s="8">
        <v>4235633.9793004785</v>
      </c>
      <c r="L5" s="8">
        <v>9329082.5276004784</v>
      </c>
      <c r="M5" s="8">
        <v>0</v>
      </c>
      <c r="N5" s="8">
        <v>0</v>
      </c>
      <c r="O5" s="8">
        <v>0</v>
      </c>
      <c r="P5" s="8">
        <v>5093448.5482999999</v>
      </c>
      <c r="Q5" s="8">
        <v>4235633.9793004785</v>
      </c>
      <c r="R5" s="8">
        <v>9329082.5276004784</v>
      </c>
    </row>
    <row r="6" spans="1:18" x14ac:dyDescent="0.25">
      <c r="A6" s="5" t="s">
        <v>4</v>
      </c>
      <c r="B6" s="5" t="s">
        <v>168</v>
      </c>
      <c r="C6" s="6">
        <v>33.936411</v>
      </c>
      <c r="D6" s="7">
        <v>1.8472853381931012E-2</v>
      </c>
      <c r="E6" s="8">
        <v>5284279.5572739635</v>
      </c>
      <c r="F6" s="8">
        <v>10456395.580153003</v>
      </c>
      <c r="G6" s="8">
        <v>6551692.40625</v>
      </c>
      <c r="H6" s="8">
        <v>6158277.7283080006</v>
      </c>
      <c r="I6" s="8">
        <v>102097.77265</v>
      </c>
      <c r="J6" s="8">
        <v>2242316.0564072002</v>
      </c>
      <c r="K6" s="8">
        <v>8502691.5573652014</v>
      </c>
      <c r="L6" s="8">
        <v>15054383.9636152</v>
      </c>
      <c r="M6" s="8">
        <v>0</v>
      </c>
      <c r="N6" s="8">
        <v>0</v>
      </c>
      <c r="O6" s="8">
        <v>0</v>
      </c>
      <c r="P6" s="8">
        <v>6551692.40625</v>
      </c>
      <c r="Q6" s="8">
        <v>8502691.5573652014</v>
      </c>
      <c r="R6" s="8">
        <v>15054383.9636152</v>
      </c>
    </row>
    <row r="7" spans="1:18" x14ac:dyDescent="0.25">
      <c r="A7" s="5" t="s">
        <v>7</v>
      </c>
      <c r="B7" s="5" t="s">
        <v>6</v>
      </c>
      <c r="C7" s="6">
        <v>33.1674845</v>
      </c>
      <c r="D7" s="7">
        <v>5.1249551866126584E-2</v>
      </c>
      <c r="E7" s="8">
        <v>27956568.731804676</v>
      </c>
      <c r="F7" s="8">
        <v>61351791.519375682</v>
      </c>
      <c r="G7" s="8">
        <v>49364929.859899998</v>
      </c>
      <c r="H7" s="8">
        <v>44506981.502476498</v>
      </c>
      <c r="I7" s="8">
        <v>1179620.36635</v>
      </c>
      <c r="J7" s="8">
        <v>22474456.626284499</v>
      </c>
      <c r="K7" s="8">
        <v>68161058.495111004</v>
      </c>
      <c r="L7" s="8">
        <v>117525988.355011</v>
      </c>
      <c r="M7" s="8">
        <v>0</v>
      </c>
      <c r="N7" s="8">
        <v>0</v>
      </c>
      <c r="O7" s="8">
        <v>0</v>
      </c>
      <c r="P7" s="8">
        <v>49364929.859899998</v>
      </c>
      <c r="Q7" s="8">
        <v>68161058.495111004</v>
      </c>
      <c r="R7" s="8">
        <v>117525988.355011</v>
      </c>
    </row>
    <row r="8" spans="1:18" x14ac:dyDescent="0.25">
      <c r="A8" s="5" t="s">
        <v>5</v>
      </c>
      <c r="B8" s="5" t="s">
        <v>169</v>
      </c>
      <c r="C8" s="6">
        <v>36.834553</v>
      </c>
      <c r="D8" s="7">
        <v>5.2193777063114177E-2</v>
      </c>
      <c r="E8" s="8">
        <v>13936038.098258283</v>
      </c>
      <c r="F8" s="8">
        <v>20352953.533323668</v>
      </c>
      <c r="G8" s="8">
        <v>13728340.210999999</v>
      </c>
      <c r="H8" s="8">
        <v>12212515.5700165</v>
      </c>
      <c r="I8" s="8">
        <v>951747.92595000006</v>
      </c>
      <c r="J8" s="8">
        <v>7924443.2541497555</v>
      </c>
      <c r="K8" s="8">
        <v>21088706.750116255</v>
      </c>
      <c r="L8" s="8">
        <v>34817046.961116254</v>
      </c>
      <c r="M8" s="8">
        <v>0</v>
      </c>
      <c r="N8" s="8">
        <v>0</v>
      </c>
      <c r="O8" s="8">
        <v>0</v>
      </c>
      <c r="P8" s="8">
        <v>13728340.210999999</v>
      </c>
      <c r="Q8" s="8">
        <v>21088706.750116255</v>
      </c>
      <c r="R8" s="8">
        <v>34817046.961116254</v>
      </c>
    </row>
    <row r="9" spans="1:18" x14ac:dyDescent="0.25">
      <c r="A9" s="5" t="s">
        <v>8</v>
      </c>
      <c r="B9" s="5" t="s">
        <v>170</v>
      </c>
      <c r="C9" s="6">
        <v>36.023496000000002</v>
      </c>
      <c r="D9" s="7">
        <v>3.7412827759490778E-2</v>
      </c>
      <c r="E9" s="8">
        <v>6042146.5633383542</v>
      </c>
      <c r="F9" s="8">
        <v>8199181.0988734988</v>
      </c>
      <c r="G9" s="8">
        <v>7617334.1626500003</v>
      </c>
      <c r="H9" s="8">
        <v>3238106.5603884999</v>
      </c>
      <c r="I9" s="8">
        <v>929510.44154999999</v>
      </c>
      <c r="J9" s="8">
        <v>3154327.2254177788</v>
      </c>
      <c r="K9" s="8">
        <v>7321944.2273562783</v>
      </c>
      <c r="L9" s="8">
        <v>14939278.390006278</v>
      </c>
      <c r="M9" s="8">
        <v>0</v>
      </c>
      <c r="N9" s="8">
        <v>0</v>
      </c>
      <c r="O9" s="8">
        <v>0</v>
      </c>
      <c r="P9" s="8">
        <v>7617334.1626500003</v>
      </c>
      <c r="Q9" s="8">
        <v>7321944.2273562783</v>
      </c>
      <c r="R9" s="8">
        <v>14939278.390006278</v>
      </c>
    </row>
    <row r="10" spans="1:18" x14ac:dyDescent="0.25">
      <c r="A10" s="5" t="s">
        <v>32</v>
      </c>
      <c r="B10" s="5" t="s">
        <v>113</v>
      </c>
      <c r="C10" s="6">
        <v>39.233544500000001</v>
      </c>
      <c r="D10" s="7">
        <v>9.5219458132113577E-2</v>
      </c>
      <c r="E10" s="8">
        <v>7199209.6080468148</v>
      </c>
      <c r="F10" s="8">
        <v>10746420.22972269</v>
      </c>
      <c r="G10" s="8">
        <v>12846261.557750002</v>
      </c>
      <c r="H10" s="8">
        <v>5234065.2546880003</v>
      </c>
      <c r="I10" s="8">
        <v>659957.18614999996</v>
      </c>
      <c r="J10" s="8">
        <v>4007295.8569580922</v>
      </c>
      <c r="K10" s="8">
        <v>9901318.2977960929</v>
      </c>
      <c r="L10" s="8">
        <v>22747579.855546094</v>
      </c>
      <c r="M10" s="8">
        <v>0</v>
      </c>
      <c r="N10" s="8">
        <v>0</v>
      </c>
      <c r="O10" s="8">
        <v>0</v>
      </c>
      <c r="P10" s="8">
        <v>12846261.557750002</v>
      </c>
      <c r="Q10" s="8">
        <v>9901318.2977960929</v>
      </c>
      <c r="R10" s="8">
        <v>22747579.855546094</v>
      </c>
    </row>
    <row r="11" spans="1:18" x14ac:dyDescent="0.25">
      <c r="A11" s="5" t="s">
        <v>53</v>
      </c>
      <c r="B11" s="5" t="s">
        <v>129</v>
      </c>
      <c r="C11" s="6">
        <v>46.965114499999999</v>
      </c>
      <c r="D11" s="7">
        <v>0.11369039439763928</v>
      </c>
      <c r="E11" s="8">
        <v>12557999.076682694</v>
      </c>
      <c r="F11" s="8">
        <v>18266692.832650833</v>
      </c>
      <c r="G11" s="8">
        <v>23547348.133000001</v>
      </c>
      <c r="H11" s="8">
        <v>9588479.1870655008</v>
      </c>
      <c r="I11" s="8">
        <v>395850.33704999997</v>
      </c>
      <c r="J11" s="8">
        <v>6515076.5646409784</v>
      </c>
      <c r="K11" s="8">
        <v>16499406.088756476</v>
      </c>
      <c r="L11" s="8">
        <v>40046754.221756473</v>
      </c>
      <c r="M11" s="8">
        <v>0</v>
      </c>
      <c r="N11" s="8">
        <v>0</v>
      </c>
      <c r="O11" s="8">
        <v>0</v>
      </c>
      <c r="P11" s="8">
        <v>23547348.133000001</v>
      </c>
      <c r="Q11" s="8">
        <v>16499406.088756476</v>
      </c>
      <c r="R11" s="8">
        <v>40046754.221756473</v>
      </c>
    </row>
    <row r="12" spans="1:18" x14ac:dyDescent="0.25">
      <c r="A12" s="5" t="s">
        <v>9</v>
      </c>
      <c r="B12" s="5" t="s">
        <v>171</v>
      </c>
      <c r="C12" s="6">
        <v>29.501525999999998</v>
      </c>
      <c r="D12" s="7">
        <v>9.8263668130663867E-2</v>
      </c>
      <c r="E12" s="8">
        <v>10565080.822147831</v>
      </c>
      <c r="F12" s="8">
        <v>21515649.704568103</v>
      </c>
      <c r="G12" s="8">
        <v>22158167.2656</v>
      </c>
      <c r="H12" s="8">
        <v>16101636.627614001</v>
      </c>
      <c r="I12" s="8">
        <v>2067356.5241</v>
      </c>
      <c r="J12" s="8">
        <v>14597174.241234105</v>
      </c>
      <c r="K12" s="8">
        <v>32766167.39294811</v>
      </c>
      <c r="L12" s="8">
        <v>54924334.658548109</v>
      </c>
      <c r="M12" s="8">
        <v>0</v>
      </c>
      <c r="N12" s="8">
        <v>0</v>
      </c>
      <c r="O12" s="8">
        <v>0</v>
      </c>
      <c r="P12" s="8">
        <v>22158167.2656</v>
      </c>
      <c r="Q12" s="8">
        <v>32766167.39294811</v>
      </c>
      <c r="R12" s="8">
        <v>54924334.658548109</v>
      </c>
    </row>
    <row r="13" spans="1:18" x14ac:dyDescent="0.25">
      <c r="A13" s="5" t="s">
        <v>10</v>
      </c>
      <c r="B13" s="5" t="s">
        <v>172</v>
      </c>
      <c r="C13" s="6">
        <v>41.756281000000001</v>
      </c>
      <c r="D13" s="7">
        <v>6.4964240114845945E-2</v>
      </c>
      <c r="E13" s="8">
        <v>5613018.5446180496</v>
      </c>
      <c r="F13" s="8">
        <v>11345473.59836204</v>
      </c>
      <c r="G13" s="8">
        <v>8012131.0281000007</v>
      </c>
      <c r="H13" s="8">
        <v>6597358.1714779995</v>
      </c>
      <c r="I13" s="8">
        <v>81712.627600000007</v>
      </c>
      <c r="J13" s="8">
        <v>3231807.2063244972</v>
      </c>
      <c r="K13" s="8">
        <v>9910878.0054024979</v>
      </c>
      <c r="L13" s="8">
        <v>17923009.033502497</v>
      </c>
      <c r="M13" s="8">
        <v>0</v>
      </c>
      <c r="N13" s="8">
        <v>0</v>
      </c>
      <c r="O13" s="8">
        <v>0</v>
      </c>
      <c r="P13" s="8">
        <v>8012131.0281000007</v>
      </c>
      <c r="Q13" s="8">
        <v>9910878.0054024979</v>
      </c>
      <c r="R13" s="8">
        <v>17923009.033502497</v>
      </c>
    </row>
    <row r="14" spans="1:18" x14ac:dyDescent="0.25">
      <c r="A14" s="5" t="s">
        <v>11</v>
      </c>
      <c r="B14" s="5" t="s">
        <v>173</v>
      </c>
      <c r="C14" s="6">
        <v>29.361794500000002</v>
      </c>
      <c r="D14" s="7">
        <v>0.37934387339500319</v>
      </c>
      <c r="E14" s="8">
        <v>16939920.37692783</v>
      </c>
      <c r="F14" s="8">
        <v>14139101.713277545</v>
      </c>
      <c r="G14" s="8">
        <v>41810812.116099998</v>
      </c>
      <c r="H14" s="8">
        <v>3560161.5199084999</v>
      </c>
      <c r="I14" s="8">
        <v>13975252.92805</v>
      </c>
      <c r="J14" s="8">
        <v>22836195.12140581</v>
      </c>
      <c r="K14" s="8">
        <v>40371609.569364309</v>
      </c>
      <c r="L14" s="8">
        <v>82182421.685464308</v>
      </c>
      <c r="M14" s="8">
        <v>7511505.83225</v>
      </c>
      <c r="N14" s="8">
        <v>0</v>
      </c>
      <c r="O14" s="8">
        <v>0</v>
      </c>
      <c r="P14" s="8">
        <v>41810812.116099998</v>
      </c>
      <c r="Q14" s="8">
        <v>32860103.737114307</v>
      </c>
      <c r="R14" s="8">
        <v>74670915.853214309</v>
      </c>
    </row>
    <row r="15" spans="1:18" x14ac:dyDescent="0.25">
      <c r="A15" s="5" t="s">
        <v>12</v>
      </c>
      <c r="B15" s="5" t="s">
        <v>174</v>
      </c>
      <c r="C15" s="6">
        <v>36.696852</v>
      </c>
      <c r="D15" s="7">
        <v>3.1406673454007807E-2</v>
      </c>
      <c r="E15" s="8">
        <v>19773559.473800696</v>
      </c>
      <c r="F15" s="8">
        <v>46494410.915543899</v>
      </c>
      <c r="G15" s="8">
        <v>32487467.351849999</v>
      </c>
      <c r="H15" s="8">
        <v>27740845.518793501</v>
      </c>
      <c r="I15" s="8">
        <v>6187825.0783000002</v>
      </c>
      <c r="J15" s="8">
        <v>19425037.117650777</v>
      </c>
      <c r="K15" s="8">
        <v>53353707.714744277</v>
      </c>
      <c r="L15" s="8">
        <v>85841175.066594273</v>
      </c>
      <c r="M15" s="8">
        <v>0</v>
      </c>
      <c r="N15" s="8">
        <v>0</v>
      </c>
      <c r="O15" s="8">
        <v>0</v>
      </c>
      <c r="P15" s="8">
        <v>32487467.351849999</v>
      </c>
      <c r="Q15" s="8">
        <v>53353707.714744277</v>
      </c>
      <c r="R15" s="8">
        <v>85841175.066594273</v>
      </c>
    </row>
    <row r="16" spans="1:18" x14ac:dyDescent="0.25">
      <c r="A16" s="5" t="s">
        <v>13</v>
      </c>
      <c r="B16" s="5" t="s">
        <v>130</v>
      </c>
      <c r="C16" s="6">
        <v>38.249770999999996</v>
      </c>
      <c r="D16" s="7">
        <v>5.5356175995090511E-2</v>
      </c>
      <c r="E16" s="8">
        <v>7133655.5709039867</v>
      </c>
      <c r="F16" s="8">
        <v>12436661.224492269</v>
      </c>
      <c r="G16" s="8">
        <v>11555059.31325</v>
      </c>
      <c r="H16" s="8">
        <v>7401064.5012849998</v>
      </c>
      <c r="I16" s="8">
        <v>2658178.85</v>
      </c>
      <c r="J16" s="8">
        <v>7554837.8893135916</v>
      </c>
      <c r="K16" s="8">
        <v>17614081.240598589</v>
      </c>
      <c r="L16" s="8">
        <v>29169140.553848591</v>
      </c>
      <c r="M16" s="8">
        <v>0</v>
      </c>
      <c r="N16" s="8">
        <v>0</v>
      </c>
      <c r="O16" s="8">
        <v>0</v>
      </c>
      <c r="P16" s="8">
        <v>11555059.31325</v>
      </c>
      <c r="Q16" s="8">
        <v>17614081.240598589</v>
      </c>
      <c r="R16" s="8">
        <v>29169140.553848591</v>
      </c>
    </row>
    <row r="17" spans="1:18" x14ac:dyDescent="0.25">
      <c r="A17" s="5" t="s">
        <v>15</v>
      </c>
      <c r="B17" s="5" t="s">
        <v>14</v>
      </c>
      <c r="C17" s="6">
        <v>37.422630999999996</v>
      </c>
      <c r="D17" s="7">
        <v>7.8436546472056751E-2</v>
      </c>
      <c r="E17" s="8">
        <v>7806491.7759581432</v>
      </c>
      <c r="F17" s="8">
        <v>12488318.222701006</v>
      </c>
      <c r="G17" s="8">
        <v>12160768.90055</v>
      </c>
      <c r="H17" s="8">
        <v>6773580.9598779995</v>
      </c>
      <c r="I17" s="8">
        <v>802138.54610000004</v>
      </c>
      <c r="J17" s="8">
        <v>5758973.3267032206</v>
      </c>
      <c r="K17" s="8">
        <v>13334692.83268122</v>
      </c>
      <c r="L17" s="8">
        <v>25495461.733231224</v>
      </c>
      <c r="M17" s="8">
        <v>0</v>
      </c>
      <c r="N17" s="8">
        <v>0</v>
      </c>
      <c r="O17" s="8">
        <v>0</v>
      </c>
      <c r="P17" s="8">
        <v>12160768.90055</v>
      </c>
      <c r="Q17" s="8">
        <v>13334692.83268122</v>
      </c>
      <c r="R17" s="8">
        <v>25495461.733231224</v>
      </c>
    </row>
    <row r="18" spans="1:18" x14ac:dyDescent="0.25">
      <c r="A18" s="5" t="s">
        <v>16</v>
      </c>
      <c r="B18" s="5" t="s">
        <v>131</v>
      </c>
      <c r="C18" s="6">
        <v>32.294424499999998</v>
      </c>
      <c r="D18" s="7">
        <v>0.14175343725011247</v>
      </c>
      <c r="E18" s="8">
        <v>11711706.80745876</v>
      </c>
      <c r="F18" s="8">
        <v>16247279.368360184</v>
      </c>
      <c r="G18" s="8">
        <v>22863385.5055</v>
      </c>
      <c r="H18" s="8">
        <v>5763988.0139895007</v>
      </c>
      <c r="I18" s="8">
        <v>12123144.5</v>
      </c>
      <c r="J18" s="8">
        <v>13569254.273522187</v>
      </c>
      <c r="K18" s="8">
        <v>31456386.787511688</v>
      </c>
      <c r="L18" s="8">
        <v>54319772.293011688</v>
      </c>
      <c r="M18" s="8">
        <v>0</v>
      </c>
      <c r="N18" s="8">
        <v>0</v>
      </c>
      <c r="O18" s="8">
        <v>0</v>
      </c>
      <c r="P18" s="8">
        <v>22863385.5055</v>
      </c>
      <c r="Q18" s="8">
        <v>31456386.787511688</v>
      </c>
      <c r="R18" s="8">
        <v>54319772.293011688</v>
      </c>
    </row>
    <row r="19" spans="1:18" x14ac:dyDescent="0.25">
      <c r="A19" s="5" t="s">
        <v>17</v>
      </c>
      <c r="B19" s="5" t="s">
        <v>132</v>
      </c>
      <c r="C19" s="6">
        <v>29.5431335</v>
      </c>
      <c r="D19" s="7">
        <v>0.18067459657634161</v>
      </c>
      <c r="E19" s="8">
        <v>8297303.5190325491</v>
      </c>
      <c r="F19" s="8">
        <v>11598538.120478187</v>
      </c>
      <c r="G19" s="8">
        <v>16527993.69815</v>
      </c>
      <c r="H19" s="8">
        <v>4200122.8166554999</v>
      </c>
      <c r="I19" s="8">
        <v>11562393.050000001</v>
      </c>
      <c r="J19" s="8">
        <v>12546827.959510181</v>
      </c>
      <c r="K19" s="8">
        <v>28309343.82616568</v>
      </c>
      <c r="L19" s="8">
        <v>44837337.524315685</v>
      </c>
      <c r="M19" s="8">
        <v>0</v>
      </c>
      <c r="N19" s="8">
        <v>0</v>
      </c>
      <c r="O19" s="8">
        <v>0</v>
      </c>
      <c r="P19" s="8">
        <v>16527993.69815</v>
      </c>
      <c r="Q19" s="8">
        <v>28309343.82616568</v>
      </c>
      <c r="R19" s="8">
        <v>44837337.524315685</v>
      </c>
    </row>
    <row r="20" spans="1:18" x14ac:dyDescent="0.25">
      <c r="A20" s="5" t="s">
        <v>18</v>
      </c>
      <c r="B20" s="5" t="s">
        <v>175</v>
      </c>
      <c r="C20" s="6">
        <v>34.482867999999996</v>
      </c>
      <c r="D20" s="7">
        <v>0.14918187524966997</v>
      </c>
      <c r="E20" s="8">
        <v>4749510.7290849425</v>
      </c>
      <c r="F20" s="8">
        <v>6493977.6017413074</v>
      </c>
      <c r="G20" s="8">
        <v>7148813.5181499999</v>
      </c>
      <c r="H20" s="8">
        <v>2918101.7407964999</v>
      </c>
      <c r="I20" s="8">
        <v>1178177.02205</v>
      </c>
      <c r="J20" s="8">
        <v>4616860.9404453645</v>
      </c>
      <c r="K20" s="8">
        <v>8713139.7032918632</v>
      </c>
      <c r="L20" s="8">
        <v>15861953.221441865</v>
      </c>
      <c r="M20" s="8">
        <v>0</v>
      </c>
      <c r="N20" s="8">
        <v>682611.96805000002</v>
      </c>
      <c r="O20" s="8">
        <v>832643.58224999998</v>
      </c>
      <c r="P20" s="8">
        <v>6466201.5501000006</v>
      </c>
      <c r="Q20" s="8">
        <v>7880496.1210418642</v>
      </c>
      <c r="R20" s="8">
        <v>14346697.671141865</v>
      </c>
    </row>
    <row r="21" spans="1:18" x14ac:dyDescent="0.25">
      <c r="A21" s="5" t="s">
        <v>19</v>
      </c>
      <c r="B21" s="5" t="s">
        <v>133</v>
      </c>
      <c r="C21" s="6">
        <v>37.046154000000001</v>
      </c>
      <c r="D21" s="7">
        <v>5.8413644525194333E-2</v>
      </c>
      <c r="E21" s="8">
        <v>9462259.4140625205</v>
      </c>
      <c r="F21" s="8">
        <v>25250006.198951356</v>
      </c>
      <c r="G21" s="8">
        <v>11541966.79685</v>
      </c>
      <c r="H21" s="8">
        <v>8970679.2010420002</v>
      </c>
      <c r="I21" s="8">
        <v>410178.25715000002</v>
      </c>
      <c r="J21" s="8">
        <v>6826128.5099805463</v>
      </c>
      <c r="K21" s="8">
        <v>16206985.968172546</v>
      </c>
      <c r="L21" s="8">
        <v>27748952.765022546</v>
      </c>
      <c r="M21" s="8">
        <v>0</v>
      </c>
      <c r="N21" s="8">
        <v>0</v>
      </c>
      <c r="O21" s="8">
        <v>0</v>
      </c>
      <c r="P21" s="8">
        <v>11541966.79685</v>
      </c>
      <c r="Q21" s="8">
        <v>16206985.968172546</v>
      </c>
      <c r="R21" s="8">
        <v>27748952.765022546</v>
      </c>
    </row>
    <row r="22" spans="1:18" x14ac:dyDescent="0.25">
      <c r="A22" s="5" t="s">
        <v>20</v>
      </c>
      <c r="B22" s="5" t="s">
        <v>134</v>
      </c>
      <c r="C22" s="6">
        <v>37.208398500000001</v>
      </c>
      <c r="D22" s="7">
        <v>2.8194174007508593E-2</v>
      </c>
      <c r="E22" s="8">
        <v>4426481.1577500133</v>
      </c>
      <c r="F22" s="8">
        <v>7918813.3087010179</v>
      </c>
      <c r="G22" s="8">
        <v>8264880.6140000001</v>
      </c>
      <c r="H22" s="8">
        <v>5576950.3148525003</v>
      </c>
      <c r="I22" s="8">
        <v>273713.76155</v>
      </c>
      <c r="J22" s="8">
        <v>1233562.9698130642</v>
      </c>
      <c r="K22" s="8">
        <v>7084227.046215564</v>
      </c>
      <c r="L22" s="8">
        <v>15349107.660215564</v>
      </c>
      <c r="M22" s="8">
        <v>0</v>
      </c>
      <c r="N22" s="8">
        <v>0</v>
      </c>
      <c r="O22" s="8">
        <v>0</v>
      </c>
      <c r="P22" s="8">
        <v>8264880.6140000001</v>
      </c>
      <c r="Q22" s="8">
        <v>7084227.046215564</v>
      </c>
      <c r="R22" s="8">
        <v>15349107.660215564</v>
      </c>
    </row>
    <row r="23" spans="1:18" x14ac:dyDescent="0.25">
      <c r="A23" s="5" t="s">
        <v>21</v>
      </c>
      <c r="B23" s="5" t="s">
        <v>176</v>
      </c>
      <c r="C23" s="6">
        <v>37.452380500000004</v>
      </c>
      <c r="D23" s="7">
        <v>7.2069658786979074E-2</v>
      </c>
      <c r="E23" s="8">
        <v>6050416.5383295584</v>
      </c>
      <c r="F23" s="8">
        <v>12532902.285816519</v>
      </c>
      <c r="G23" s="8">
        <v>9780014.1282499991</v>
      </c>
      <c r="H23" s="8">
        <v>5718080.6755985003</v>
      </c>
      <c r="I23" s="8">
        <v>1409894.5128500001</v>
      </c>
      <c r="J23" s="8">
        <v>6293856.6525195008</v>
      </c>
      <c r="K23" s="8">
        <v>13421831.840968002</v>
      </c>
      <c r="L23" s="8">
        <v>23201845.969218001</v>
      </c>
      <c r="M23" s="8">
        <v>0</v>
      </c>
      <c r="N23" s="8">
        <v>0</v>
      </c>
      <c r="O23" s="8">
        <v>0</v>
      </c>
      <c r="P23" s="8">
        <v>9780014.1282499991</v>
      </c>
      <c r="Q23" s="8">
        <v>13421831.840968002</v>
      </c>
      <c r="R23" s="8">
        <v>23201845.969218001</v>
      </c>
    </row>
    <row r="24" spans="1:18" x14ac:dyDescent="0.25">
      <c r="A24" s="5" t="s">
        <v>22</v>
      </c>
      <c r="B24" s="5" t="s">
        <v>177</v>
      </c>
      <c r="C24" s="6">
        <v>34.085864999999998</v>
      </c>
      <c r="D24" s="7">
        <v>4.8939863155620045E-2</v>
      </c>
      <c r="E24" s="8">
        <v>9163382.1377686448</v>
      </c>
      <c r="F24" s="8">
        <v>14644771.225977205</v>
      </c>
      <c r="G24" s="8">
        <v>10006266.41805</v>
      </c>
      <c r="H24" s="8">
        <v>8801585.5675315</v>
      </c>
      <c r="I24" s="8">
        <v>2926410.5</v>
      </c>
      <c r="J24" s="8">
        <v>10340379.155556593</v>
      </c>
      <c r="K24" s="8">
        <v>22068375.223088093</v>
      </c>
      <c r="L24" s="8">
        <v>32074641.641138092</v>
      </c>
      <c r="M24" s="8">
        <v>0</v>
      </c>
      <c r="N24" s="8">
        <v>0</v>
      </c>
      <c r="O24" s="8">
        <v>0</v>
      </c>
      <c r="P24" s="8">
        <v>10006266.41805</v>
      </c>
      <c r="Q24" s="8">
        <v>22068375.223088093</v>
      </c>
      <c r="R24" s="8">
        <v>32074641.641138092</v>
      </c>
    </row>
    <row r="25" spans="1:18" x14ac:dyDescent="0.25">
      <c r="A25" s="5" t="s">
        <v>23</v>
      </c>
      <c r="B25" s="5" t="s">
        <v>178</v>
      </c>
      <c r="C25" s="6">
        <v>35.578507999999999</v>
      </c>
      <c r="D25" s="7">
        <v>2.6763941642295175E-2</v>
      </c>
      <c r="E25" s="8">
        <v>13121095.98000914</v>
      </c>
      <c r="F25" s="8">
        <v>23546813.989978038</v>
      </c>
      <c r="G25" s="8">
        <v>16614729.90175</v>
      </c>
      <c r="H25" s="8">
        <v>18240040.2587745</v>
      </c>
      <c r="I25" s="8">
        <v>79878.587950000001</v>
      </c>
      <c r="J25" s="8">
        <v>7590860.7898187945</v>
      </c>
      <c r="K25" s="8">
        <v>25910779.636543296</v>
      </c>
      <c r="L25" s="8">
        <v>42525509.538293295</v>
      </c>
      <c r="M25" s="8">
        <v>0</v>
      </c>
      <c r="N25" s="8">
        <v>0</v>
      </c>
      <c r="O25" s="8">
        <v>0</v>
      </c>
      <c r="P25" s="8">
        <v>16614729.90175</v>
      </c>
      <c r="Q25" s="8">
        <v>25910779.636543296</v>
      </c>
      <c r="R25" s="8">
        <v>42525509.538293295</v>
      </c>
    </row>
    <row r="26" spans="1:18" x14ac:dyDescent="0.25">
      <c r="A26" s="5" t="s">
        <v>24</v>
      </c>
      <c r="B26" s="5" t="s">
        <v>135</v>
      </c>
      <c r="C26" s="6">
        <v>36.041397500000002</v>
      </c>
      <c r="D26" s="7">
        <v>7.712585995017493E-2</v>
      </c>
      <c r="E26" s="8">
        <v>5671123.3200234314</v>
      </c>
      <c r="F26" s="8">
        <v>10771186.296586551</v>
      </c>
      <c r="G26" s="8">
        <v>21775563.818849999</v>
      </c>
      <c r="H26" s="8">
        <v>5757723.2194699999</v>
      </c>
      <c r="I26" s="8">
        <v>3654202.3266500002</v>
      </c>
      <c r="J26" s="8">
        <v>4942174.5505052432</v>
      </c>
      <c r="K26" s="8">
        <v>14354100.096625242</v>
      </c>
      <c r="L26" s="8">
        <v>36129663.915475242</v>
      </c>
      <c r="M26" s="8">
        <v>0</v>
      </c>
      <c r="N26" s="8">
        <v>0</v>
      </c>
      <c r="O26" s="8">
        <v>0</v>
      </c>
      <c r="P26" s="8">
        <v>21775563.818849999</v>
      </c>
      <c r="Q26" s="8">
        <v>14354100.096625242</v>
      </c>
      <c r="R26" s="8">
        <v>36129663.915475242</v>
      </c>
    </row>
    <row r="27" spans="1:18" x14ac:dyDescent="0.25">
      <c r="A27" s="5" t="s">
        <v>25</v>
      </c>
      <c r="B27" s="5" t="s">
        <v>179</v>
      </c>
      <c r="C27" s="6">
        <v>38.038069</v>
      </c>
      <c r="D27" s="7">
        <v>3.6481484456214186E-2</v>
      </c>
      <c r="E27" s="8">
        <v>14646175.806951392</v>
      </c>
      <c r="F27" s="8">
        <v>31615206.750299867</v>
      </c>
      <c r="G27" s="8">
        <v>20225727.12435</v>
      </c>
      <c r="H27" s="8">
        <v>21673601.014530502</v>
      </c>
      <c r="I27" s="8">
        <v>3255183.0663000001</v>
      </c>
      <c r="J27" s="8">
        <v>13141421.886435576</v>
      </c>
      <c r="K27" s="8">
        <v>38070205.967266075</v>
      </c>
      <c r="L27" s="8">
        <v>58295933.091616079</v>
      </c>
      <c r="M27" s="8">
        <v>0</v>
      </c>
      <c r="N27" s="8">
        <v>0</v>
      </c>
      <c r="O27" s="8">
        <v>0</v>
      </c>
      <c r="P27" s="8">
        <v>20225727.12435</v>
      </c>
      <c r="Q27" s="8">
        <v>38070205.967266075</v>
      </c>
      <c r="R27" s="8">
        <v>58295933.091616079</v>
      </c>
    </row>
    <row r="28" spans="1:18" x14ac:dyDescent="0.25">
      <c r="A28" s="5" t="s">
        <v>26</v>
      </c>
      <c r="B28" s="5" t="s">
        <v>180</v>
      </c>
      <c r="C28" s="6">
        <v>35.148895500000002</v>
      </c>
      <c r="D28" s="7">
        <v>0.17683593413709919</v>
      </c>
      <c r="E28" s="8">
        <v>2258957.6307955976</v>
      </c>
      <c r="F28" s="8">
        <v>4823746.6679373141</v>
      </c>
      <c r="G28" s="8">
        <v>8831982.5428999998</v>
      </c>
      <c r="H28" s="8">
        <v>2536699.0802540001</v>
      </c>
      <c r="I28" s="8">
        <v>2555106.75</v>
      </c>
      <c r="J28" s="8">
        <v>4226298.6105288742</v>
      </c>
      <c r="K28" s="8">
        <v>9318104.4407828748</v>
      </c>
      <c r="L28" s="8">
        <v>18150086.983682875</v>
      </c>
      <c r="M28" s="8">
        <v>0</v>
      </c>
      <c r="N28" s="8">
        <v>0</v>
      </c>
      <c r="O28" s="8">
        <v>0</v>
      </c>
      <c r="P28" s="8">
        <v>8831982.5428999998</v>
      </c>
      <c r="Q28" s="8">
        <v>9318104.4407828748</v>
      </c>
      <c r="R28" s="8">
        <v>18150086.983682875</v>
      </c>
    </row>
    <row r="29" spans="1:18" x14ac:dyDescent="0.25">
      <c r="A29" s="5" t="s">
        <v>27</v>
      </c>
      <c r="B29" s="5" t="s">
        <v>136</v>
      </c>
      <c r="C29" s="6">
        <v>25.683663500000002</v>
      </c>
      <c r="D29" s="7">
        <v>0.15430477445662363</v>
      </c>
      <c r="E29" s="8">
        <v>6856688.4218555856</v>
      </c>
      <c r="F29" s="8">
        <v>7005193.1021877881</v>
      </c>
      <c r="G29" s="8">
        <v>12357430.39395</v>
      </c>
      <c r="H29" s="8">
        <v>6887612.3488870002</v>
      </c>
      <c r="I29" s="8">
        <v>3975453.2</v>
      </c>
      <c r="J29" s="8">
        <v>7006534.3514931742</v>
      </c>
      <c r="K29" s="8">
        <v>17869599.900380172</v>
      </c>
      <c r="L29" s="8">
        <v>30227030.294330172</v>
      </c>
      <c r="M29" s="8">
        <v>2065479.3069500001</v>
      </c>
      <c r="N29" s="8">
        <v>0</v>
      </c>
      <c r="O29" s="8">
        <v>0</v>
      </c>
      <c r="P29" s="8">
        <v>12357430.39395</v>
      </c>
      <c r="Q29" s="8">
        <v>15804120.593430173</v>
      </c>
      <c r="R29" s="8">
        <v>28161550.987380173</v>
      </c>
    </row>
    <row r="30" spans="1:18" x14ac:dyDescent="0.25">
      <c r="A30" s="5" t="s">
        <v>28</v>
      </c>
      <c r="B30" s="5" t="s">
        <v>181</v>
      </c>
      <c r="C30" s="6">
        <v>31.783956</v>
      </c>
      <c r="D30" s="7">
        <v>0.17634640660914638</v>
      </c>
      <c r="E30" s="8">
        <v>2234945.4630092965</v>
      </c>
      <c r="F30" s="8">
        <v>4820889.0674343128</v>
      </c>
      <c r="G30" s="8">
        <v>9160829.2942500003</v>
      </c>
      <c r="H30" s="8">
        <v>2794552.3884569998</v>
      </c>
      <c r="I30" s="8">
        <v>4967395.75</v>
      </c>
      <c r="J30" s="8">
        <v>5476004.0379746128</v>
      </c>
      <c r="K30" s="8">
        <v>13237952.176431613</v>
      </c>
      <c r="L30" s="8">
        <v>22398781.470681611</v>
      </c>
      <c r="M30" s="8">
        <v>0</v>
      </c>
      <c r="N30" s="8">
        <v>0</v>
      </c>
      <c r="O30" s="8">
        <v>0</v>
      </c>
      <c r="P30" s="8">
        <v>9160829.2942500003</v>
      </c>
      <c r="Q30" s="8">
        <v>13237952.176431613</v>
      </c>
      <c r="R30" s="8">
        <v>22398781.470681611</v>
      </c>
    </row>
    <row r="31" spans="1:18" x14ac:dyDescent="0.25">
      <c r="A31" s="5" t="s">
        <v>29</v>
      </c>
      <c r="B31" s="5" t="s">
        <v>182</v>
      </c>
      <c r="C31" s="6">
        <v>32.776545999999996</v>
      </c>
      <c r="D31" s="7">
        <v>0.14824996928041625</v>
      </c>
      <c r="E31" s="8">
        <v>4180144.0899811839</v>
      </c>
      <c r="F31" s="8">
        <v>9220765.6726254728</v>
      </c>
      <c r="G31" s="8">
        <v>15287597.899900001</v>
      </c>
      <c r="H31" s="8">
        <v>5608218.2516955007</v>
      </c>
      <c r="I31" s="8">
        <v>3556864.45</v>
      </c>
      <c r="J31" s="8">
        <v>7649417.3935803734</v>
      </c>
      <c r="K31" s="8">
        <v>16814500.095275871</v>
      </c>
      <c r="L31" s="8">
        <v>32102097.995175876</v>
      </c>
      <c r="M31" s="8">
        <v>0</v>
      </c>
      <c r="N31" s="8">
        <v>0</v>
      </c>
      <c r="O31" s="8">
        <v>0</v>
      </c>
      <c r="P31" s="8">
        <v>15287597.899900001</v>
      </c>
      <c r="Q31" s="8">
        <v>16814500.095275871</v>
      </c>
      <c r="R31" s="8">
        <v>32102097.995175876</v>
      </c>
    </row>
    <row r="32" spans="1:18" x14ac:dyDescent="0.25">
      <c r="A32" s="5" t="s">
        <v>30</v>
      </c>
      <c r="B32" s="5" t="s">
        <v>183</v>
      </c>
      <c r="C32" s="6">
        <v>34.878788999999998</v>
      </c>
      <c r="D32" s="7">
        <v>0.40691491324134771</v>
      </c>
      <c r="E32" s="8">
        <v>141046389.07093662</v>
      </c>
      <c r="F32" s="8">
        <v>145658965.6797719</v>
      </c>
      <c r="G32" s="8">
        <v>311825993.17334998</v>
      </c>
      <c r="H32" s="8">
        <v>75727821.957991004</v>
      </c>
      <c r="I32" s="8">
        <v>49454380.076250002</v>
      </c>
      <c r="J32" s="8">
        <v>110775473.03927419</v>
      </c>
      <c r="K32" s="8">
        <v>235957675.07351518</v>
      </c>
      <c r="L32" s="8">
        <v>547783668.24686515</v>
      </c>
      <c r="M32" s="8">
        <v>16107315.30315</v>
      </c>
      <c r="N32" s="8">
        <v>0</v>
      </c>
      <c r="O32" s="8">
        <v>0</v>
      </c>
      <c r="P32" s="8">
        <v>311825993.17334998</v>
      </c>
      <c r="Q32" s="8">
        <v>219850359.77036518</v>
      </c>
      <c r="R32" s="8">
        <v>531676352.94371516</v>
      </c>
    </row>
    <row r="33" spans="1:18" x14ac:dyDescent="0.25">
      <c r="A33" s="5" t="s">
        <v>31</v>
      </c>
      <c r="B33" s="5" t="s">
        <v>184</v>
      </c>
      <c r="C33" s="6">
        <v>33.892043999999999</v>
      </c>
      <c r="D33" s="7">
        <v>0.20584321388699611</v>
      </c>
      <c r="E33" s="8">
        <v>3662493.3850052804</v>
      </c>
      <c r="F33" s="8">
        <v>5556261.2032250362</v>
      </c>
      <c r="G33" s="8">
        <v>11337039.97655</v>
      </c>
      <c r="H33" s="8">
        <v>2541723.1546125002</v>
      </c>
      <c r="I33" s="8">
        <v>4671265.75</v>
      </c>
      <c r="J33" s="8">
        <v>6742745.7647355311</v>
      </c>
      <c r="K33" s="8">
        <v>13955734.669348031</v>
      </c>
      <c r="L33" s="8">
        <v>25292774.645898029</v>
      </c>
      <c r="M33" s="8">
        <v>0</v>
      </c>
      <c r="N33" s="8">
        <v>0</v>
      </c>
      <c r="O33" s="8">
        <v>0</v>
      </c>
      <c r="P33" s="8">
        <v>11337039.97655</v>
      </c>
      <c r="Q33" s="8">
        <v>13955734.669348031</v>
      </c>
      <c r="R33" s="8">
        <v>25292774.645898029</v>
      </c>
    </row>
    <row r="34" spans="1:18" x14ac:dyDescent="0.25">
      <c r="A34" s="5" t="s">
        <v>33</v>
      </c>
      <c r="B34" s="5" t="s">
        <v>137</v>
      </c>
      <c r="C34" s="6">
        <v>36.208331000000001</v>
      </c>
      <c r="D34" s="7">
        <v>7.7814303951136962E-2</v>
      </c>
      <c r="E34" s="8">
        <v>15637836.09566932</v>
      </c>
      <c r="F34" s="8">
        <v>22173261.976486325</v>
      </c>
      <c r="G34" s="8">
        <v>22229462.034000002</v>
      </c>
      <c r="H34" s="8">
        <v>16582083.654996</v>
      </c>
      <c r="I34" s="8">
        <v>40066.300000000003</v>
      </c>
      <c r="J34" s="8">
        <v>10350132.2771836</v>
      </c>
      <c r="K34" s="8">
        <v>26972282.232179601</v>
      </c>
      <c r="L34" s="8">
        <v>49201744.266179599</v>
      </c>
      <c r="M34" s="8">
        <v>0</v>
      </c>
      <c r="N34" s="8">
        <v>0</v>
      </c>
      <c r="O34" s="8">
        <v>0</v>
      </c>
      <c r="P34" s="8">
        <v>22229462.034000002</v>
      </c>
      <c r="Q34" s="8">
        <v>26972282.232179601</v>
      </c>
      <c r="R34" s="8">
        <v>49201744.266179599</v>
      </c>
    </row>
    <row r="35" spans="1:18" x14ac:dyDescent="0.25">
      <c r="A35" s="5" t="s">
        <v>34</v>
      </c>
      <c r="B35" s="5" t="s">
        <v>185</v>
      </c>
      <c r="C35" s="6">
        <v>34.876146500000004</v>
      </c>
      <c r="D35" s="7">
        <v>0.13569520990416672</v>
      </c>
      <c r="E35" s="8">
        <v>5400952.1701022806</v>
      </c>
      <c r="F35" s="8">
        <v>9119324.8952646926</v>
      </c>
      <c r="G35" s="8">
        <v>8070344.1438499996</v>
      </c>
      <c r="H35" s="8">
        <v>6500673.6285274997</v>
      </c>
      <c r="I35" s="8">
        <v>965241.31074999995</v>
      </c>
      <c r="J35" s="8">
        <v>5499921.1253835019</v>
      </c>
      <c r="K35" s="8">
        <v>12965836.064661004</v>
      </c>
      <c r="L35" s="8">
        <v>21036180.208511002</v>
      </c>
      <c r="M35" s="8">
        <v>0</v>
      </c>
      <c r="N35" s="8">
        <v>0</v>
      </c>
      <c r="O35" s="8">
        <v>0</v>
      </c>
      <c r="P35" s="8">
        <v>8070344.1438499996</v>
      </c>
      <c r="Q35" s="8">
        <v>12965836.064661004</v>
      </c>
      <c r="R35" s="8">
        <v>21036180.208511002</v>
      </c>
    </row>
    <row r="36" spans="1:18" x14ac:dyDescent="0.25">
      <c r="A36" s="5" t="s">
        <v>35</v>
      </c>
      <c r="B36" s="5" t="s">
        <v>138</v>
      </c>
      <c r="C36" s="6">
        <v>32.829024000000004</v>
      </c>
      <c r="D36" s="7">
        <v>0.10029956919210864</v>
      </c>
      <c r="E36" s="8">
        <v>2299181.4285872048</v>
      </c>
      <c r="F36" s="8">
        <v>5723740.7681878256</v>
      </c>
      <c r="G36" s="8">
        <v>4585166.3977000006</v>
      </c>
      <c r="H36" s="8">
        <v>3601724.5620535002</v>
      </c>
      <c r="I36" s="8">
        <v>1747719.5</v>
      </c>
      <c r="J36" s="8">
        <v>4301032.4018312972</v>
      </c>
      <c r="K36" s="8">
        <v>9650476.4638847969</v>
      </c>
      <c r="L36" s="8">
        <v>14235642.861584798</v>
      </c>
      <c r="M36" s="8">
        <v>0</v>
      </c>
      <c r="N36" s="8">
        <v>0</v>
      </c>
      <c r="O36" s="8">
        <v>0</v>
      </c>
      <c r="P36" s="8">
        <v>4585166.3977000006</v>
      </c>
      <c r="Q36" s="8">
        <v>9650476.4638847969</v>
      </c>
      <c r="R36" s="8">
        <v>14235642.861584798</v>
      </c>
    </row>
    <row r="37" spans="1:18" x14ac:dyDescent="0.25">
      <c r="A37" s="5" t="s">
        <v>37</v>
      </c>
      <c r="B37" s="5" t="s">
        <v>36</v>
      </c>
      <c r="C37" s="6">
        <v>30.218640999999998</v>
      </c>
      <c r="D37" s="7">
        <v>3.3760569929706857E-2</v>
      </c>
      <c r="E37" s="8">
        <v>4369624.0347966403</v>
      </c>
      <c r="F37" s="8">
        <v>8157080.5463805962</v>
      </c>
      <c r="G37" s="8">
        <v>4133493.6954999999</v>
      </c>
      <c r="H37" s="8">
        <v>4621351.9105615001</v>
      </c>
      <c r="I37" s="8">
        <v>107.16315</v>
      </c>
      <c r="J37" s="8">
        <v>2389682.2481624861</v>
      </c>
      <c r="K37" s="8">
        <v>7011141.3218739871</v>
      </c>
      <c r="L37" s="8">
        <v>11144635.017373987</v>
      </c>
      <c r="M37" s="8">
        <v>0</v>
      </c>
      <c r="N37" s="8">
        <v>0</v>
      </c>
      <c r="O37" s="8">
        <v>0</v>
      </c>
      <c r="P37" s="8">
        <v>4133493.6954999999</v>
      </c>
      <c r="Q37" s="8">
        <v>7011141.3218739871</v>
      </c>
      <c r="R37" s="8">
        <v>11144635.017373987</v>
      </c>
    </row>
    <row r="38" spans="1:18" x14ac:dyDescent="0.25">
      <c r="A38" s="5" t="s">
        <v>38</v>
      </c>
      <c r="B38" s="5" t="s">
        <v>186</v>
      </c>
      <c r="C38" s="6">
        <v>31.2172375</v>
      </c>
      <c r="D38" s="7">
        <v>0.13027547992805141</v>
      </c>
      <c r="E38" s="8">
        <v>3238363.2633542791</v>
      </c>
      <c r="F38" s="8">
        <v>5104756.0014570458</v>
      </c>
      <c r="G38" s="8">
        <v>7761576.3233500002</v>
      </c>
      <c r="H38" s="8">
        <v>1835189.2997085</v>
      </c>
      <c r="I38" s="8">
        <v>1091196.8999999999</v>
      </c>
      <c r="J38" s="8">
        <v>4634380.1326913219</v>
      </c>
      <c r="K38" s="8">
        <v>7560766.3323998209</v>
      </c>
      <c r="L38" s="8">
        <v>15322342.655749822</v>
      </c>
      <c r="M38" s="8">
        <v>199678.26845</v>
      </c>
      <c r="N38" s="8">
        <v>0</v>
      </c>
      <c r="O38" s="8">
        <v>0</v>
      </c>
      <c r="P38" s="8">
        <v>7761576.3233500002</v>
      </c>
      <c r="Q38" s="8">
        <v>7361088.0639498215</v>
      </c>
      <c r="R38" s="8">
        <v>15122664.387299821</v>
      </c>
    </row>
    <row r="39" spans="1:18" x14ac:dyDescent="0.25">
      <c r="A39" s="5" t="s">
        <v>39</v>
      </c>
      <c r="B39" s="5" t="s">
        <v>139</v>
      </c>
      <c r="C39" s="6">
        <v>20.567446499999999</v>
      </c>
      <c r="D39" s="7">
        <v>3.7730723373428514E-4</v>
      </c>
      <c r="E39" s="8">
        <v>6329841.3933264976</v>
      </c>
      <c r="F39" s="8">
        <v>2741698.6869686306</v>
      </c>
      <c r="G39" s="8">
        <v>14343782.905950001</v>
      </c>
      <c r="H39" s="8">
        <v>1785639.2680490001</v>
      </c>
      <c r="I39" s="8">
        <v>1092633.6499999999</v>
      </c>
      <c r="J39" s="8">
        <v>5201874.3444733638</v>
      </c>
      <c r="K39" s="8">
        <v>8080147.262522364</v>
      </c>
      <c r="L39" s="8">
        <v>22423930.168472365</v>
      </c>
      <c r="M39" s="8">
        <v>1304540.6050499999</v>
      </c>
      <c r="N39" s="8">
        <v>4718416.4973499998</v>
      </c>
      <c r="O39" s="8">
        <v>0</v>
      </c>
      <c r="P39" s="8">
        <v>9625366.4085999988</v>
      </c>
      <c r="Q39" s="8">
        <v>6775606.6574723646</v>
      </c>
      <c r="R39" s="8">
        <v>16400973.066072363</v>
      </c>
    </row>
    <row r="40" spans="1:18" x14ac:dyDescent="0.25">
      <c r="A40" s="5" t="s">
        <v>40</v>
      </c>
      <c r="B40" s="5" t="s">
        <v>187</v>
      </c>
      <c r="C40" s="6">
        <v>30.350113999999998</v>
      </c>
      <c r="D40" s="7">
        <v>2.7286132493102206E-2</v>
      </c>
      <c r="E40" s="8">
        <v>8633247.4426811747</v>
      </c>
      <c r="F40" s="8">
        <v>14885296.387841694</v>
      </c>
      <c r="G40" s="8">
        <v>18828945.862400003</v>
      </c>
      <c r="H40" s="8">
        <v>10857307.003852</v>
      </c>
      <c r="I40" s="8">
        <v>2861088.25</v>
      </c>
      <c r="J40" s="8">
        <v>9172082.087160714</v>
      </c>
      <c r="K40" s="8">
        <v>22890477.341012713</v>
      </c>
      <c r="L40" s="8">
        <v>41719423.203412712</v>
      </c>
      <c r="M40" s="8">
        <v>0</v>
      </c>
      <c r="N40" s="8">
        <v>648674.93940000003</v>
      </c>
      <c r="O40" s="8">
        <v>47014.5239</v>
      </c>
      <c r="P40" s="8">
        <v>18180270.923</v>
      </c>
      <c r="Q40" s="8">
        <v>22843462.817112714</v>
      </c>
      <c r="R40" s="8">
        <v>41023733.740112714</v>
      </c>
    </row>
    <row r="41" spans="1:18" ht="25.5" x14ac:dyDescent="0.25">
      <c r="A41" s="5" t="s">
        <v>41</v>
      </c>
      <c r="B41" s="5" t="s">
        <v>188</v>
      </c>
      <c r="C41" s="6">
        <v>39.618721999999998</v>
      </c>
      <c r="D41" s="7">
        <v>3.3740390546682666E-2</v>
      </c>
      <c r="E41" s="8">
        <v>4854297.2682248112</v>
      </c>
      <c r="F41" s="8">
        <v>9482731.834896611</v>
      </c>
      <c r="G41" s="8">
        <v>8539708.411249999</v>
      </c>
      <c r="H41" s="8">
        <v>4178599.6788320001</v>
      </c>
      <c r="I41" s="8">
        <v>994712.34719999996</v>
      </c>
      <c r="J41" s="8">
        <v>3278285.9122990454</v>
      </c>
      <c r="K41" s="8">
        <v>8451597.9383310452</v>
      </c>
      <c r="L41" s="8">
        <v>16991306.349581044</v>
      </c>
      <c r="M41" s="8">
        <v>0</v>
      </c>
      <c r="N41" s="8">
        <v>0</v>
      </c>
      <c r="O41" s="8">
        <v>0</v>
      </c>
      <c r="P41" s="8">
        <v>8539708.411249999</v>
      </c>
      <c r="Q41" s="8">
        <v>8451597.9383310452</v>
      </c>
      <c r="R41" s="8">
        <v>16991306.349581044</v>
      </c>
    </row>
    <row r="42" spans="1:18" x14ac:dyDescent="0.25">
      <c r="A42" s="5" t="s">
        <v>42</v>
      </c>
      <c r="B42" s="5" t="s">
        <v>189</v>
      </c>
      <c r="C42" s="6">
        <v>28.6588995</v>
      </c>
      <c r="D42" s="7">
        <v>7.8535941301859674E-2</v>
      </c>
      <c r="E42" s="8">
        <v>6516808.360723082</v>
      </c>
      <c r="F42" s="8">
        <v>13099590.80376335</v>
      </c>
      <c r="G42" s="8">
        <v>11468267.575199999</v>
      </c>
      <c r="H42" s="8">
        <v>5926646.4613605002</v>
      </c>
      <c r="I42" s="8">
        <v>4076379.2211500001</v>
      </c>
      <c r="J42" s="8">
        <v>8171905.7055390924</v>
      </c>
      <c r="K42" s="8">
        <v>18174931.388049595</v>
      </c>
      <c r="L42" s="8">
        <v>29643198.963249594</v>
      </c>
      <c r="M42" s="8">
        <v>0</v>
      </c>
      <c r="N42" s="8">
        <v>0</v>
      </c>
      <c r="O42" s="8">
        <v>0</v>
      </c>
      <c r="P42" s="8">
        <v>11468267.575199999</v>
      </c>
      <c r="Q42" s="8">
        <v>18174931.388049595</v>
      </c>
      <c r="R42" s="8">
        <v>29643198.963249594</v>
      </c>
    </row>
    <row r="43" spans="1:18" x14ac:dyDescent="0.25">
      <c r="A43" s="5" t="s">
        <v>43</v>
      </c>
      <c r="B43" s="5" t="s">
        <v>190</v>
      </c>
      <c r="C43" s="6">
        <v>35.817206499999998</v>
      </c>
      <c r="D43" s="7">
        <v>1.4667672606027913E-2</v>
      </c>
      <c r="E43" s="8">
        <v>7923995.4240609957</v>
      </c>
      <c r="F43" s="8">
        <v>17891575.442459822</v>
      </c>
      <c r="G43" s="8">
        <v>8348456.2078999998</v>
      </c>
      <c r="H43" s="8">
        <v>12594607.172851</v>
      </c>
      <c r="I43" s="8">
        <v>620265.88005000004</v>
      </c>
      <c r="J43" s="8">
        <v>3577897.414768083</v>
      </c>
      <c r="K43" s="8">
        <v>16792770.467669085</v>
      </c>
      <c r="L43" s="8">
        <v>25141226.67556908</v>
      </c>
      <c r="M43" s="8">
        <v>0</v>
      </c>
      <c r="N43" s="8">
        <v>0</v>
      </c>
      <c r="O43" s="8">
        <v>0</v>
      </c>
      <c r="P43" s="8">
        <v>8348456.2078999998</v>
      </c>
      <c r="Q43" s="8">
        <v>16792770.467669085</v>
      </c>
      <c r="R43" s="8">
        <v>25141226.67556908</v>
      </c>
    </row>
    <row r="44" spans="1:18" x14ac:dyDescent="0.25">
      <c r="A44" s="5" t="s">
        <v>44</v>
      </c>
      <c r="B44" s="5" t="s">
        <v>191</v>
      </c>
      <c r="C44" s="6">
        <v>37.759158499999998</v>
      </c>
      <c r="D44" s="7">
        <v>2.2158668859888268E-2</v>
      </c>
      <c r="E44" s="8">
        <v>8908202.1185941137</v>
      </c>
      <c r="F44" s="8">
        <v>22790304.838577498</v>
      </c>
      <c r="G44" s="8">
        <v>13960411.037349999</v>
      </c>
      <c r="H44" s="8">
        <v>14741846.270847499</v>
      </c>
      <c r="I44" s="8">
        <v>1960457.5344500002</v>
      </c>
      <c r="J44" s="8">
        <v>11219402.251339417</v>
      </c>
      <c r="K44" s="8">
        <v>27921706.056636918</v>
      </c>
      <c r="L44" s="8">
        <v>41882117.093986914</v>
      </c>
      <c r="M44" s="8">
        <v>0</v>
      </c>
      <c r="N44" s="8">
        <v>0</v>
      </c>
      <c r="O44" s="8">
        <v>0</v>
      </c>
      <c r="P44" s="8">
        <v>13960411.037349999</v>
      </c>
      <c r="Q44" s="8">
        <v>27921706.056636918</v>
      </c>
      <c r="R44" s="8">
        <v>41882117.093986914</v>
      </c>
    </row>
    <row r="45" spans="1:18" x14ac:dyDescent="0.25">
      <c r="A45" s="5" t="s">
        <v>45</v>
      </c>
      <c r="B45" s="5" t="s">
        <v>192</v>
      </c>
      <c r="C45" s="6">
        <v>34.723747500000002</v>
      </c>
      <c r="D45" s="7">
        <v>0.12139347742574658</v>
      </c>
      <c r="E45" s="8">
        <v>10655835.248694327</v>
      </c>
      <c r="F45" s="8">
        <v>14591198.725221315</v>
      </c>
      <c r="G45" s="8">
        <v>17894514.711649999</v>
      </c>
      <c r="H45" s="8">
        <v>5456747.5370110003</v>
      </c>
      <c r="I45" s="8">
        <v>7361633.0755500002</v>
      </c>
      <c r="J45" s="8">
        <v>14288781.535084294</v>
      </c>
      <c r="K45" s="8">
        <v>27107162.147645295</v>
      </c>
      <c r="L45" s="8">
        <v>45001676.859295294</v>
      </c>
      <c r="M45" s="8">
        <v>0</v>
      </c>
      <c r="N45" s="8">
        <v>0</v>
      </c>
      <c r="O45" s="8">
        <v>0</v>
      </c>
      <c r="P45" s="8">
        <v>17894514.711649999</v>
      </c>
      <c r="Q45" s="8">
        <v>27107162.147645295</v>
      </c>
      <c r="R45" s="8">
        <v>45001676.859295294</v>
      </c>
    </row>
    <row r="46" spans="1:18" x14ac:dyDescent="0.25">
      <c r="A46" s="5" t="s">
        <v>46</v>
      </c>
      <c r="B46" s="5" t="s">
        <v>193</v>
      </c>
      <c r="C46" s="6">
        <v>35.291238500000006</v>
      </c>
      <c r="D46" s="7">
        <v>2.9777166342699626E-2</v>
      </c>
      <c r="E46" s="8">
        <v>5505952.2217503209</v>
      </c>
      <c r="F46" s="8">
        <v>10202198.00829399</v>
      </c>
      <c r="G46" s="8">
        <v>6476774.5656500002</v>
      </c>
      <c r="H46" s="8">
        <v>5390221.6307490002</v>
      </c>
      <c r="I46" s="8">
        <v>733465.18580000009</v>
      </c>
      <c r="J46" s="8">
        <v>2927508.008245484</v>
      </c>
      <c r="K46" s="8">
        <v>9051194.8247944843</v>
      </c>
      <c r="L46" s="8">
        <v>15527969.390444484</v>
      </c>
      <c r="M46" s="8">
        <v>0</v>
      </c>
      <c r="N46" s="8">
        <v>0</v>
      </c>
      <c r="O46" s="8">
        <v>0</v>
      </c>
      <c r="P46" s="8">
        <v>6476774.5656500002</v>
      </c>
      <c r="Q46" s="8">
        <v>9051194.8247944843</v>
      </c>
      <c r="R46" s="8">
        <v>15527969.390444484</v>
      </c>
    </row>
    <row r="47" spans="1:18" x14ac:dyDescent="0.25">
      <c r="A47" s="5" t="s">
        <v>47</v>
      </c>
      <c r="B47" s="5" t="s">
        <v>140</v>
      </c>
      <c r="C47" s="6">
        <v>36.132165499999999</v>
      </c>
      <c r="D47" s="7">
        <v>1.8903934564676733E-2</v>
      </c>
      <c r="E47" s="8">
        <v>6364877.0384326857</v>
      </c>
      <c r="F47" s="8">
        <v>13488847.480196003</v>
      </c>
      <c r="G47" s="8">
        <v>10361240.7125</v>
      </c>
      <c r="H47" s="8">
        <v>9024937.2547754999</v>
      </c>
      <c r="I47" s="8">
        <v>393638.8394</v>
      </c>
      <c r="J47" s="8">
        <v>4237668.1888867058</v>
      </c>
      <c r="K47" s="8">
        <v>13656244.283062205</v>
      </c>
      <c r="L47" s="8">
        <v>24017484.995562203</v>
      </c>
      <c r="M47" s="8">
        <v>0</v>
      </c>
      <c r="N47" s="8">
        <v>0</v>
      </c>
      <c r="O47" s="8">
        <v>0</v>
      </c>
      <c r="P47" s="8">
        <v>10361240.7125</v>
      </c>
      <c r="Q47" s="8">
        <v>13656244.283062205</v>
      </c>
      <c r="R47" s="8">
        <v>24017484.995562203</v>
      </c>
    </row>
    <row r="48" spans="1:18" x14ac:dyDescent="0.25">
      <c r="A48" s="5" t="s">
        <v>48</v>
      </c>
      <c r="B48" s="5" t="s">
        <v>194</v>
      </c>
      <c r="C48" s="6">
        <v>40.914815000000004</v>
      </c>
      <c r="D48" s="7">
        <v>4.6264917605342848E-2</v>
      </c>
      <c r="E48" s="8">
        <v>5119823.2647837456</v>
      </c>
      <c r="F48" s="8">
        <v>6843124.3156052763</v>
      </c>
      <c r="G48" s="8">
        <v>8511840.5484500006</v>
      </c>
      <c r="H48" s="8">
        <v>4304849.1435080003</v>
      </c>
      <c r="I48" s="8">
        <v>524740.13494999998</v>
      </c>
      <c r="J48" s="8">
        <v>3474272.8807261661</v>
      </c>
      <c r="K48" s="8">
        <v>8303862.1591841662</v>
      </c>
      <c r="L48" s="8">
        <v>16815702.707634166</v>
      </c>
      <c r="M48" s="8">
        <v>0</v>
      </c>
      <c r="N48" s="8">
        <v>0</v>
      </c>
      <c r="O48" s="8">
        <v>0</v>
      </c>
      <c r="P48" s="8">
        <v>8511840.5484500006</v>
      </c>
      <c r="Q48" s="8">
        <v>8303862.1591841662</v>
      </c>
      <c r="R48" s="8">
        <v>16815702.707634166</v>
      </c>
    </row>
    <row r="49" spans="1:18" x14ac:dyDescent="0.25">
      <c r="A49" s="5" t="s">
        <v>49</v>
      </c>
      <c r="B49" s="5" t="s">
        <v>195</v>
      </c>
      <c r="C49" s="6">
        <v>38.887119999999996</v>
      </c>
      <c r="D49" s="7">
        <v>4.7259467615446318E-2</v>
      </c>
      <c r="E49" s="8">
        <v>11568909.74230136</v>
      </c>
      <c r="F49" s="8">
        <v>28890317.791530937</v>
      </c>
      <c r="G49" s="8">
        <v>17197332.632550001</v>
      </c>
      <c r="H49" s="8">
        <v>10614654.884399001</v>
      </c>
      <c r="I49" s="8">
        <v>1147111.2</v>
      </c>
      <c r="J49" s="8">
        <v>10975539.252520625</v>
      </c>
      <c r="K49" s="8">
        <v>22737305.336919628</v>
      </c>
      <c r="L49" s="8">
        <v>39934637.969469629</v>
      </c>
      <c r="M49" s="8">
        <v>0</v>
      </c>
      <c r="N49" s="8">
        <v>0</v>
      </c>
      <c r="O49" s="8">
        <v>0</v>
      </c>
      <c r="P49" s="8">
        <v>17197332.632550001</v>
      </c>
      <c r="Q49" s="8">
        <v>22737305.336919628</v>
      </c>
      <c r="R49" s="8">
        <v>39934637.969469629</v>
      </c>
    </row>
    <row r="50" spans="1:18" x14ac:dyDescent="0.25">
      <c r="A50" s="5" t="s">
        <v>50</v>
      </c>
      <c r="B50" s="5" t="s">
        <v>141</v>
      </c>
      <c r="C50" s="6">
        <v>37.077601000000001</v>
      </c>
      <c r="D50" s="7">
        <v>3.3627573130962339E-2</v>
      </c>
      <c r="E50" s="8">
        <v>4427507.1380215017</v>
      </c>
      <c r="F50" s="8">
        <v>8631936.3967339844</v>
      </c>
      <c r="G50" s="8">
        <v>8573725.815299999</v>
      </c>
      <c r="H50" s="8">
        <v>5508534.5797185004</v>
      </c>
      <c r="I50" s="8">
        <v>0</v>
      </c>
      <c r="J50" s="8">
        <v>3282412.412313499</v>
      </c>
      <c r="K50" s="8">
        <v>8790946.9920319989</v>
      </c>
      <c r="L50" s="8">
        <v>17364672.807331998</v>
      </c>
      <c r="M50" s="8">
        <v>0</v>
      </c>
      <c r="N50" s="8">
        <v>0</v>
      </c>
      <c r="O50" s="8">
        <v>0</v>
      </c>
      <c r="P50" s="8">
        <v>8573725.815299999</v>
      </c>
      <c r="Q50" s="8">
        <v>8790946.9920319989</v>
      </c>
      <c r="R50" s="8">
        <v>17364672.807331998</v>
      </c>
    </row>
    <row r="51" spans="1:18" x14ac:dyDescent="0.25">
      <c r="A51" s="5" t="s">
        <v>51</v>
      </c>
      <c r="B51" s="5" t="s">
        <v>142</v>
      </c>
      <c r="C51" s="6">
        <v>35.097197999999999</v>
      </c>
      <c r="D51" s="7">
        <v>2.0444545939963501E-2</v>
      </c>
      <c r="E51" s="8">
        <v>13976477.765248163</v>
      </c>
      <c r="F51" s="8">
        <v>37609943.290071748</v>
      </c>
      <c r="G51" s="8">
        <v>13917170.934</v>
      </c>
      <c r="H51" s="8">
        <v>23706799.018542498</v>
      </c>
      <c r="I51" s="8">
        <v>2675898.8785000001</v>
      </c>
      <c r="J51" s="8">
        <v>16018224.934414253</v>
      </c>
      <c r="K51" s="8">
        <v>42400922.831456751</v>
      </c>
      <c r="L51" s="8">
        <v>56318093.765456751</v>
      </c>
      <c r="M51" s="8">
        <v>0</v>
      </c>
      <c r="N51" s="8">
        <v>0</v>
      </c>
      <c r="O51" s="8">
        <v>0</v>
      </c>
      <c r="P51" s="8">
        <v>13917170.934</v>
      </c>
      <c r="Q51" s="8">
        <v>42400922.831456751</v>
      </c>
      <c r="R51" s="8">
        <v>56318093.765456751</v>
      </c>
    </row>
    <row r="52" spans="1:18" x14ac:dyDescent="0.25">
      <c r="A52" s="5" t="s">
        <v>52</v>
      </c>
      <c r="B52" s="5" t="s">
        <v>143</v>
      </c>
      <c r="C52" s="6">
        <v>37.924196999999999</v>
      </c>
      <c r="D52" s="7">
        <v>3.6221038477273107E-2</v>
      </c>
      <c r="E52" s="8">
        <v>7167489.1502000783</v>
      </c>
      <c r="F52" s="8">
        <v>12935910.920027357</v>
      </c>
      <c r="G52" s="8">
        <v>7859933.1504999995</v>
      </c>
      <c r="H52" s="8">
        <v>7365304.5355745004</v>
      </c>
      <c r="I52" s="8">
        <v>851702.5612</v>
      </c>
      <c r="J52" s="8">
        <v>5494069.8623648025</v>
      </c>
      <c r="K52" s="8">
        <v>13711076.959139302</v>
      </c>
      <c r="L52" s="8">
        <v>21571010.109639302</v>
      </c>
      <c r="M52" s="8">
        <v>0</v>
      </c>
      <c r="N52" s="8">
        <v>0</v>
      </c>
      <c r="O52" s="8">
        <v>0</v>
      </c>
      <c r="P52" s="8">
        <v>7859933.1504999995</v>
      </c>
      <c r="Q52" s="8">
        <v>13711076.959139302</v>
      </c>
      <c r="R52" s="8">
        <v>21571010.109639302</v>
      </c>
    </row>
    <row r="53" spans="1:18" x14ac:dyDescent="0.25">
      <c r="A53" s="5" t="s">
        <v>54</v>
      </c>
      <c r="B53" s="5" t="s">
        <v>144</v>
      </c>
      <c r="C53" s="6">
        <v>36.204386</v>
      </c>
      <c r="D53" s="7">
        <v>9.3574886463269363E-2</v>
      </c>
      <c r="E53" s="8">
        <v>5836806.5251658577</v>
      </c>
      <c r="F53" s="8">
        <v>10129149.814146958</v>
      </c>
      <c r="G53" s="8">
        <v>11091282.880350001</v>
      </c>
      <c r="H53" s="8">
        <v>4483011.2115134997</v>
      </c>
      <c r="I53" s="8">
        <v>4888860</v>
      </c>
      <c r="J53" s="8">
        <v>7485760.6975735687</v>
      </c>
      <c r="K53" s="8">
        <v>16857631.909087069</v>
      </c>
      <c r="L53" s="8">
        <v>27948914.78943707</v>
      </c>
      <c r="M53" s="8">
        <v>0</v>
      </c>
      <c r="N53" s="8">
        <v>0</v>
      </c>
      <c r="O53" s="8">
        <v>0</v>
      </c>
      <c r="P53" s="8">
        <v>11091282.880350001</v>
      </c>
      <c r="Q53" s="8">
        <v>16857631.909087069</v>
      </c>
      <c r="R53" s="8">
        <v>27948914.78943707</v>
      </c>
    </row>
    <row r="54" spans="1:18" x14ac:dyDescent="0.25">
      <c r="A54" s="5" t="s">
        <v>55</v>
      </c>
      <c r="B54" s="5" t="s">
        <v>196</v>
      </c>
      <c r="C54" s="6">
        <v>41.5711795</v>
      </c>
      <c r="D54" s="7">
        <v>4.9867620018225839E-2</v>
      </c>
      <c r="E54" s="8">
        <v>4719946.3676145263</v>
      </c>
      <c r="F54" s="8">
        <v>7252040.5283471337</v>
      </c>
      <c r="G54" s="8">
        <v>8780478.1020999998</v>
      </c>
      <c r="H54" s="8">
        <v>5199739.4924574997</v>
      </c>
      <c r="I54" s="8">
        <v>108066.19375000001</v>
      </c>
      <c r="J54" s="8">
        <v>1735605.3418401931</v>
      </c>
      <c r="K54" s="8">
        <v>7043411.028047693</v>
      </c>
      <c r="L54" s="8">
        <v>15823889.130147692</v>
      </c>
      <c r="M54" s="8">
        <v>0</v>
      </c>
      <c r="N54" s="8">
        <v>0</v>
      </c>
      <c r="O54" s="8">
        <v>0</v>
      </c>
      <c r="P54" s="8">
        <v>8780478.1020999998</v>
      </c>
      <c r="Q54" s="8">
        <v>7043411.028047693</v>
      </c>
      <c r="R54" s="8">
        <v>15823889.130147692</v>
      </c>
    </row>
    <row r="55" spans="1:18" x14ac:dyDescent="0.25">
      <c r="A55" s="5" t="s">
        <v>56</v>
      </c>
      <c r="B55" s="5" t="s">
        <v>197</v>
      </c>
      <c r="C55" s="6">
        <v>32.559024000000001</v>
      </c>
      <c r="D55" s="7">
        <v>5.8839016958457196E-2</v>
      </c>
      <c r="E55" s="8">
        <v>13086896.546659708</v>
      </c>
      <c r="F55" s="8">
        <v>24628291.841110133</v>
      </c>
      <c r="G55" s="8">
        <v>19496834.276950002</v>
      </c>
      <c r="H55" s="8">
        <v>13538369.154100999</v>
      </c>
      <c r="I55" s="8">
        <v>314685.99875000003</v>
      </c>
      <c r="J55" s="8">
        <v>9268206.8972768188</v>
      </c>
      <c r="K55" s="8">
        <v>23121262.050127819</v>
      </c>
      <c r="L55" s="8">
        <v>42618096.327077821</v>
      </c>
      <c r="M55" s="8">
        <v>0</v>
      </c>
      <c r="N55" s="8">
        <v>0</v>
      </c>
      <c r="O55" s="8">
        <v>0</v>
      </c>
      <c r="P55" s="8">
        <v>19496834.276950002</v>
      </c>
      <c r="Q55" s="8">
        <v>23121262.050127819</v>
      </c>
      <c r="R55" s="8">
        <v>42618096.327077821</v>
      </c>
    </row>
    <row r="56" spans="1:18" x14ac:dyDescent="0.25">
      <c r="A56" s="5" t="s">
        <v>57</v>
      </c>
      <c r="B56" s="5" t="s">
        <v>145</v>
      </c>
      <c r="C56" s="6">
        <v>42.891193000000001</v>
      </c>
      <c r="D56" s="7">
        <v>0</v>
      </c>
      <c r="E56" s="8">
        <v>17340025.827607073</v>
      </c>
      <c r="F56" s="8">
        <v>12241635.450892048</v>
      </c>
      <c r="G56" s="8">
        <v>17750567.5986</v>
      </c>
      <c r="H56" s="8">
        <v>3003822.9781954996</v>
      </c>
      <c r="I56" s="8">
        <v>2132998.75</v>
      </c>
      <c r="J56" s="8">
        <v>6360476.9703738149</v>
      </c>
      <c r="K56" s="8">
        <v>11497298.698569315</v>
      </c>
      <c r="L56" s="8">
        <v>29247866.297169313</v>
      </c>
      <c r="M56" s="8">
        <v>0</v>
      </c>
      <c r="N56" s="8">
        <v>0</v>
      </c>
      <c r="O56" s="8">
        <v>0</v>
      </c>
      <c r="P56" s="8">
        <v>17750567.5986</v>
      </c>
      <c r="Q56" s="8">
        <v>11497298.698569315</v>
      </c>
      <c r="R56" s="8">
        <v>29247866.297169313</v>
      </c>
    </row>
    <row r="57" spans="1:18" x14ac:dyDescent="0.25">
      <c r="A57" s="5" t="s">
        <v>58</v>
      </c>
      <c r="B57" s="5" t="s">
        <v>198</v>
      </c>
      <c r="C57" s="6">
        <v>36.838442499999999</v>
      </c>
      <c r="D57" s="7">
        <v>3.4760993604011373E-2</v>
      </c>
      <c r="E57" s="8">
        <v>17424420.47208298</v>
      </c>
      <c r="F57" s="8">
        <v>32409358.369084485</v>
      </c>
      <c r="G57" s="8">
        <v>31719153.0612</v>
      </c>
      <c r="H57" s="8">
        <v>17978574.411442</v>
      </c>
      <c r="I57" s="8">
        <v>174626.65</v>
      </c>
      <c r="J57" s="8">
        <v>12920955.881570021</v>
      </c>
      <c r="K57" s="8">
        <v>31074156.943012021</v>
      </c>
      <c r="L57" s="8">
        <v>62793310.004212022</v>
      </c>
      <c r="M57" s="8">
        <v>0</v>
      </c>
      <c r="N57" s="8">
        <v>0</v>
      </c>
      <c r="O57" s="8">
        <v>0</v>
      </c>
      <c r="P57" s="8">
        <v>31719153.0612</v>
      </c>
      <c r="Q57" s="8">
        <v>31074156.943012021</v>
      </c>
      <c r="R57" s="8">
        <v>62793310.004212022</v>
      </c>
    </row>
    <row r="58" spans="1:18" x14ac:dyDescent="0.25">
      <c r="A58" s="5" t="s">
        <v>59</v>
      </c>
      <c r="B58" s="5" t="s">
        <v>146</v>
      </c>
      <c r="C58" s="6">
        <v>35.333863999999998</v>
      </c>
      <c r="D58" s="7">
        <v>4.8492404713556266E-2</v>
      </c>
      <c r="E58" s="8">
        <v>5855793.6699925419</v>
      </c>
      <c r="F58" s="8">
        <v>9641851.6776082516</v>
      </c>
      <c r="G58" s="8">
        <v>7980249.2449000003</v>
      </c>
      <c r="H58" s="8">
        <v>5054274.3765434995</v>
      </c>
      <c r="I58" s="8">
        <v>1150471.81975</v>
      </c>
      <c r="J58" s="8">
        <v>4528990.6331709651</v>
      </c>
      <c r="K58" s="8">
        <v>10733736.829464465</v>
      </c>
      <c r="L58" s="8">
        <v>18713986.074364468</v>
      </c>
      <c r="M58" s="8">
        <v>0</v>
      </c>
      <c r="N58" s="8">
        <v>0</v>
      </c>
      <c r="O58" s="8">
        <v>0</v>
      </c>
      <c r="P58" s="8">
        <v>7980249.2449000003</v>
      </c>
      <c r="Q58" s="8">
        <v>10733736.829464465</v>
      </c>
      <c r="R58" s="8">
        <v>18713986.074364468</v>
      </c>
    </row>
    <row r="59" spans="1:18" x14ac:dyDescent="0.25">
      <c r="A59" s="5" t="s">
        <v>60</v>
      </c>
      <c r="B59" s="5" t="s">
        <v>199</v>
      </c>
      <c r="C59" s="6">
        <v>36.9065175</v>
      </c>
      <c r="D59" s="7">
        <v>2.4076851839969958E-2</v>
      </c>
      <c r="E59" s="8">
        <v>10415727.275182992</v>
      </c>
      <c r="F59" s="8">
        <v>20179501.768951282</v>
      </c>
      <c r="G59" s="8">
        <v>10879314.0986</v>
      </c>
      <c r="H59" s="8">
        <v>12178582.731310001</v>
      </c>
      <c r="I59" s="8">
        <v>1802710.2058000001</v>
      </c>
      <c r="J59" s="8">
        <v>9650716.9292501882</v>
      </c>
      <c r="K59" s="8">
        <v>23632009.866360191</v>
      </c>
      <c r="L59" s="8">
        <v>34511323.964960188</v>
      </c>
      <c r="M59" s="8">
        <v>0</v>
      </c>
      <c r="N59" s="8">
        <v>0</v>
      </c>
      <c r="O59" s="8">
        <v>0</v>
      </c>
      <c r="P59" s="8">
        <v>10879314.0986</v>
      </c>
      <c r="Q59" s="8">
        <v>23632009.866360191</v>
      </c>
      <c r="R59" s="8">
        <v>34511323.964960188</v>
      </c>
    </row>
    <row r="60" spans="1:18" x14ac:dyDescent="0.25">
      <c r="A60" s="5" t="s">
        <v>61</v>
      </c>
      <c r="B60" s="5" t="s">
        <v>147</v>
      </c>
      <c r="C60" s="6">
        <v>34.392440999999998</v>
      </c>
      <c r="D60" s="7">
        <v>2.6498607656092608E-2</v>
      </c>
      <c r="E60" s="8">
        <v>4607989.8538862765</v>
      </c>
      <c r="F60" s="8">
        <v>7839840.9123218562</v>
      </c>
      <c r="G60" s="8">
        <v>7958022.6073000003</v>
      </c>
      <c r="H60" s="8">
        <v>5480561.7040205002</v>
      </c>
      <c r="I60" s="8">
        <v>181166.9578</v>
      </c>
      <c r="J60" s="8">
        <v>2823508.8693591002</v>
      </c>
      <c r="K60" s="8">
        <v>8485237.5311795995</v>
      </c>
      <c r="L60" s="8">
        <v>16443260.138479602</v>
      </c>
      <c r="M60" s="8">
        <v>0</v>
      </c>
      <c r="N60" s="8">
        <v>0</v>
      </c>
      <c r="O60" s="8">
        <v>0</v>
      </c>
      <c r="P60" s="8">
        <v>7958022.6073000003</v>
      </c>
      <c r="Q60" s="8">
        <v>8485237.5311795995</v>
      </c>
      <c r="R60" s="8">
        <v>16443260.138479602</v>
      </c>
    </row>
    <row r="61" spans="1:18" x14ac:dyDescent="0.25">
      <c r="A61" s="5" t="s">
        <v>62</v>
      </c>
      <c r="B61" s="5" t="s">
        <v>200</v>
      </c>
      <c r="C61" s="6">
        <v>36.035773500000005</v>
      </c>
      <c r="D61" s="7">
        <v>4.3740210892963892E-2</v>
      </c>
      <c r="E61" s="8">
        <v>8652532.6512426548</v>
      </c>
      <c r="F61" s="8">
        <v>18277357.870338343</v>
      </c>
      <c r="G61" s="8">
        <v>14672540.837850001</v>
      </c>
      <c r="H61" s="8">
        <v>11145687.085293502</v>
      </c>
      <c r="I61" s="8">
        <v>3992358.95</v>
      </c>
      <c r="J61" s="8">
        <v>7016436.4742486738</v>
      </c>
      <c r="K61" s="8">
        <v>22154482.509542175</v>
      </c>
      <c r="L61" s="8">
        <v>36827023.347392172</v>
      </c>
      <c r="M61" s="8">
        <v>0</v>
      </c>
      <c r="N61" s="8">
        <v>0</v>
      </c>
      <c r="O61" s="8">
        <v>0</v>
      </c>
      <c r="P61" s="8">
        <v>14672540.837850001</v>
      </c>
      <c r="Q61" s="8">
        <v>22154482.509542175</v>
      </c>
      <c r="R61" s="8">
        <v>36827023.347392172</v>
      </c>
    </row>
    <row r="62" spans="1:18" x14ac:dyDescent="0.25">
      <c r="A62" s="5" t="s">
        <v>63</v>
      </c>
      <c r="B62" s="5" t="s">
        <v>201</v>
      </c>
      <c r="C62" s="6">
        <v>37.659618500000001</v>
      </c>
      <c r="D62" s="7">
        <v>4.4904382396890659E-2</v>
      </c>
      <c r="E62" s="8">
        <v>9653871.6037475616</v>
      </c>
      <c r="F62" s="8">
        <v>17716209.256169975</v>
      </c>
      <c r="G62" s="8">
        <v>11276386.59725</v>
      </c>
      <c r="H62" s="8">
        <v>11012347.184784502</v>
      </c>
      <c r="I62" s="8">
        <v>450323.4</v>
      </c>
      <c r="J62" s="8">
        <v>7476906.811805984</v>
      </c>
      <c r="K62" s="8">
        <v>18939577.396590486</v>
      </c>
      <c r="L62" s="8">
        <v>30215963.993840486</v>
      </c>
      <c r="M62" s="8">
        <v>0</v>
      </c>
      <c r="N62" s="8">
        <v>0</v>
      </c>
      <c r="O62" s="8">
        <v>0</v>
      </c>
      <c r="P62" s="8">
        <v>11276386.59725</v>
      </c>
      <c r="Q62" s="8">
        <v>18939577.396590486</v>
      </c>
      <c r="R62" s="8">
        <v>30215963.993840486</v>
      </c>
    </row>
    <row r="63" spans="1:18" x14ac:dyDescent="0.25">
      <c r="A63" s="5" t="s">
        <v>64</v>
      </c>
      <c r="B63" s="5" t="s">
        <v>202</v>
      </c>
      <c r="C63" s="6">
        <v>38.232968999999997</v>
      </c>
      <c r="D63" s="7">
        <v>2.080907744667827E-2</v>
      </c>
      <c r="E63" s="8">
        <v>11052677.294410773</v>
      </c>
      <c r="F63" s="8">
        <v>23173168.36447008</v>
      </c>
      <c r="G63" s="8">
        <v>15799708.316199999</v>
      </c>
      <c r="H63" s="8">
        <v>14168582.223758001</v>
      </c>
      <c r="I63" s="8">
        <v>1002115.5927</v>
      </c>
      <c r="J63" s="8">
        <v>6950740.4042902282</v>
      </c>
      <c r="K63" s="8">
        <v>22121438.220748231</v>
      </c>
      <c r="L63" s="8">
        <v>37921146.536948234</v>
      </c>
      <c r="M63" s="8">
        <v>0</v>
      </c>
      <c r="N63" s="8">
        <v>0</v>
      </c>
      <c r="O63" s="8">
        <v>0</v>
      </c>
      <c r="P63" s="8">
        <v>15799708.316199999</v>
      </c>
      <c r="Q63" s="8">
        <v>22121438.220748231</v>
      </c>
      <c r="R63" s="8">
        <v>37921146.536948234</v>
      </c>
    </row>
    <row r="64" spans="1:18" x14ac:dyDescent="0.25">
      <c r="A64" s="5" t="s">
        <v>65</v>
      </c>
      <c r="B64" s="5" t="s">
        <v>203</v>
      </c>
      <c r="C64" s="6">
        <v>33.357512499999999</v>
      </c>
      <c r="D64" s="7">
        <v>7.8438544992947265E-2</v>
      </c>
      <c r="E64" s="8">
        <v>39673610.931694403</v>
      </c>
      <c r="F64" s="8">
        <v>64867684.567273416</v>
      </c>
      <c r="G64" s="8">
        <v>88610444.040399998</v>
      </c>
      <c r="H64" s="8">
        <v>37041818.967509508</v>
      </c>
      <c r="I64" s="8">
        <v>9730083.6999999993</v>
      </c>
      <c r="J64" s="8">
        <v>41143582.764873385</v>
      </c>
      <c r="K64" s="8">
        <v>87915485.432382882</v>
      </c>
      <c r="L64" s="8">
        <v>176525929.47278291</v>
      </c>
      <c r="M64" s="8">
        <v>0</v>
      </c>
      <c r="N64" s="8">
        <v>0</v>
      </c>
      <c r="O64" s="8">
        <v>0</v>
      </c>
      <c r="P64" s="8">
        <v>88610444.040399998</v>
      </c>
      <c r="Q64" s="8">
        <v>87915485.432382882</v>
      </c>
      <c r="R64" s="8">
        <v>176525929.47278291</v>
      </c>
    </row>
    <row r="65" spans="1:18" x14ac:dyDescent="0.25">
      <c r="A65" s="5" t="s">
        <v>66</v>
      </c>
      <c r="B65" s="5" t="s">
        <v>204</v>
      </c>
      <c r="C65" s="6">
        <v>39.867677</v>
      </c>
      <c r="D65" s="7">
        <v>1.7225059431148361E-2</v>
      </c>
      <c r="E65" s="8">
        <v>6384115.157460209</v>
      </c>
      <c r="F65" s="8">
        <v>21632778.415381894</v>
      </c>
      <c r="G65" s="8">
        <v>10935179.48625</v>
      </c>
      <c r="H65" s="8">
        <v>9133398.3263580017</v>
      </c>
      <c r="I65" s="8">
        <v>1028903.1829</v>
      </c>
      <c r="J65" s="8">
        <v>4684618.8644480314</v>
      </c>
      <c r="K65" s="8">
        <v>14846920.373706032</v>
      </c>
      <c r="L65" s="8">
        <v>25782099.859956034</v>
      </c>
      <c r="M65" s="8">
        <v>0</v>
      </c>
      <c r="N65" s="8">
        <v>0</v>
      </c>
      <c r="O65" s="8">
        <v>0</v>
      </c>
      <c r="P65" s="8">
        <v>10935179.48625</v>
      </c>
      <c r="Q65" s="8">
        <v>14846920.373706032</v>
      </c>
      <c r="R65" s="8">
        <v>25782099.859956034</v>
      </c>
    </row>
    <row r="66" spans="1:18" x14ac:dyDescent="0.25">
      <c r="A66" s="5" t="s">
        <v>67</v>
      </c>
      <c r="B66" s="5" t="s">
        <v>148</v>
      </c>
      <c r="C66" s="6">
        <v>45.5548225</v>
      </c>
      <c r="D66" s="7">
        <v>0.11321557101550153</v>
      </c>
      <c r="E66" s="8">
        <v>5514165.1833959762</v>
      </c>
      <c r="F66" s="8">
        <v>8830721.2588237524</v>
      </c>
      <c r="G66" s="8">
        <v>14436171.139699999</v>
      </c>
      <c r="H66" s="8">
        <v>5001787.3249370009</v>
      </c>
      <c r="I66" s="8">
        <v>1672908.4300000002</v>
      </c>
      <c r="J66" s="8">
        <v>4807017.3015257549</v>
      </c>
      <c r="K66" s="8">
        <v>11481713.056462755</v>
      </c>
      <c r="L66" s="8">
        <v>25917884.196162757</v>
      </c>
      <c r="M66" s="8">
        <v>0</v>
      </c>
      <c r="N66" s="8">
        <v>0</v>
      </c>
      <c r="O66" s="8">
        <v>0</v>
      </c>
      <c r="P66" s="8">
        <v>14436171.139699999</v>
      </c>
      <c r="Q66" s="8">
        <v>11481713.056462755</v>
      </c>
      <c r="R66" s="8">
        <v>25917884.196162757</v>
      </c>
    </row>
    <row r="67" spans="1:18" x14ac:dyDescent="0.25">
      <c r="A67" s="5" t="s">
        <v>68</v>
      </c>
      <c r="B67" s="5" t="s">
        <v>149</v>
      </c>
      <c r="C67" s="6">
        <v>34.971969999999999</v>
      </c>
      <c r="D67" s="7">
        <v>0.13747868786973672</v>
      </c>
      <c r="E67" s="8">
        <v>7647881.9953280184</v>
      </c>
      <c r="F67" s="8">
        <v>13898062.965730891</v>
      </c>
      <c r="G67" s="8">
        <v>15030166.84585</v>
      </c>
      <c r="H67" s="8">
        <v>8675518.8321234994</v>
      </c>
      <c r="I67" s="8">
        <v>4439351.1500000004</v>
      </c>
      <c r="J67" s="8">
        <v>8584019.3282372355</v>
      </c>
      <c r="K67" s="8">
        <v>21698889.310360737</v>
      </c>
      <c r="L67" s="8">
        <v>36729056.156210735</v>
      </c>
      <c r="M67" s="8">
        <v>0</v>
      </c>
      <c r="N67" s="8">
        <v>0</v>
      </c>
      <c r="O67" s="8">
        <v>0</v>
      </c>
      <c r="P67" s="8">
        <v>15030166.84585</v>
      </c>
      <c r="Q67" s="8">
        <v>21698889.310360737</v>
      </c>
      <c r="R67" s="8">
        <v>36729056.156210735</v>
      </c>
    </row>
    <row r="68" spans="1:18" x14ac:dyDescent="0.25">
      <c r="A68" s="5" t="s">
        <v>69</v>
      </c>
      <c r="B68" s="5" t="s">
        <v>150</v>
      </c>
      <c r="C68" s="6">
        <v>35.4163195</v>
      </c>
      <c r="D68" s="7">
        <v>3.7124236784104286E-2</v>
      </c>
      <c r="E68" s="8">
        <v>6816472.7320574597</v>
      </c>
      <c r="F68" s="8">
        <v>11744394.847917296</v>
      </c>
      <c r="G68" s="8">
        <v>10700388.21855</v>
      </c>
      <c r="H68" s="8">
        <v>7921306.0328874998</v>
      </c>
      <c r="I68" s="8">
        <v>1152158.3999999999</v>
      </c>
      <c r="J68" s="8">
        <v>4750285.2970715547</v>
      </c>
      <c r="K68" s="8">
        <v>13823749.729959056</v>
      </c>
      <c r="L68" s="8">
        <v>24524137.948509052</v>
      </c>
      <c r="M68" s="8">
        <v>0</v>
      </c>
      <c r="N68" s="8">
        <v>354017.84739999997</v>
      </c>
      <c r="O68" s="8">
        <v>0</v>
      </c>
      <c r="P68" s="8">
        <v>10346370.37115</v>
      </c>
      <c r="Q68" s="8">
        <v>13823749.729959056</v>
      </c>
      <c r="R68" s="8">
        <v>24170120.101109054</v>
      </c>
    </row>
    <row r="69" spans="1:18" x14ac:dyDescent="0.25">
      <c r="A69" s="5" t="s">
        <v>70</v>
      </c>
      <c r="B69" s="5" t="s">
        <v>205</v>
      </c>
      <c r="C69" s="6">
        <v>33.871170500000005</v>
      </c>
      <c r="D69" s="7">
        <v>0.10990872406968347</v>
      </c>
      <c r="E69" s="8">
        <v>41805722.072208479</v>
      </c>
      <c r="F69" s="8">
        <v>58606234.467057914</v>
      </c>
      <c r="G69" s="8">
        <v>54701996.843899995</v>
      </c>
      <c r="H69" s="8">
        <v>36573496.113500997</v>
      </c>
      <c r="I69" s="8">
        <v>3030475.05</v>
      </c>
      <c r="J69" s="8">
        <v>25709060.406906061</v>
      </c>
      <c r="K69" s="8">
        <v>65313031.570407063</v>
      </c>
      <c r="L69" s="8">
        <v>120015028.41430706</v>
      </c>
      <c r="M69" s="8">
        <v>0</v>
      </c>
      <c r="N69" s="8">
        <v>0</v>
      </c>
      <c r="O69" s="8">
        <v>0</v>
      </c>
      <c r="P69" s="8">
        <v>54701996.843899995</v>
      </c>
      <c r="Q69" s="8">
        <v>65313031.570407063</v>
      </c>
      <c r="R69" s="8">
        <v>120015028.41430706</v>
      </c>
    </row>
    <row r="70" spans="1:18" x14ac:dyDescent="0.25">
      <c r="A70" s="5" t="s">
        <v>72</v>
      </c>
      <c r="B70" s="5" t="s">
        <v>71</v>
      </c>
      <c r="C70" s="6">
        <v>18.903362999999999</v>
      </c>
      <c r="D70" s="7">
        <v>0</v>
      </c>
      <c r="E70" s="8">
        <v>346540.88500000007</v>
      </c>
      <c r="F70" s="8">
        <v>971895.88192669954</v>
      </c>
      <c r="G70" s="8">
        <v>5714131.4418500001</v>
      </c>
      <c r="H70" s="8">
        <v>987275.182394</v>
      </c>
      <c r="I70" s="8">
        <v>79217.867599999998</v>
      </c>
      <c r="J70" s="8">
        <v>50154.87850214971</v>
      </c>
      <c r="K70" s="8">
        <v>1116647.9284961498</v>
      </c>
      <c r="L70" s="8">
        <v>6830779.3703461494</v>
      </c>
      <c r="M70" s="8">
        <v>0</v>
      </c>
      <c r="N70" s="8">
        <v>4781759.73905</v>
      </c>
      <c r="O70" s="8">
        <v>0</v>
      </c>
      <c r="P70" s="8">
        <v>932371.70279999997</v>
      </c>
      <c r="Q70" s="8">
        <v>1116647.9284961498</v>
      </c>
      <c r="R70" s="8">
        <v>2049019.6312961497</v>
      </c>
    </row>
    <row r="71" spans="1:18" x14ac:dyDescent="0.25">
      <c r="A71" s="5" t="s">
        <v>73</v>
      </c>
      <c r="B71" s="5" t="s">
        <v>206</v>
      </c>
      <c r="C71" s="6">
        <v>33.746184</v>
      </c>
      <c r="D71" s="7">
        <v>3.0791598021567307E-2</v>
      </c>
      <c r="E71" s="8">
        <v>4003867.7631284138</v>
      </c>
      <c r="F71" s="8">
        <v>7735945.1825226061</v>
      </c>
      <c r="G71" s="8">
        <v>5121321.2075500004</v>
      </c>
      <c r="H71" s="8">
        <v>4229715.6073110001</v>
      </c>
      <c r="I71" s="8">
        <v>724886.66599999997</v>
      </c>
      <c r="J71" s="8">
        <v>2364537.1726968531</v>
      </c>
      <c r="K71" s="8">
        <v>7319139.4460078534</v>
      </c>
      <c r="L71" s="8">
        <v>12440460.653557852</v>
      </c>
      <c r="M71" s="8">
        <v>0</v>
      </c>
      <c r="N71" s="8">
        <v>0</v>
      </c>
      <c r="O71" s="8">
        <v>0</v>
      </c>
      <c r="P71" s="8">
        <v>5121321.2075500004</v>
      </c>
      <c r="Q71" s="8">
        <v>7319139.4460078534</v>
      </c>
      <c r="R71" s="8">
        <v>12440460.653557852</v>
      </c>
    </row>
    <row r="72" spans="1:18" x14ac:dyDescent="0.25">
      <c r="A72" s="5" t="s">
        <v>74</v>
      </c>
      <c r="B72" s="5" t="s">
        <v>151</v>
      </c>
      <c r="C72" s="6">
        <v>35.907361999999999</v>
      </c>
      <c r="D72" s="7">
        <v>0.1478092439552372</v>
      </c>
      <c r="E72" s="8">
        <v>10232347.714299157</v>
      </c>
      <c r="F72" s="8">
        <v>15119755.826431045</v>
      </c>
      <c r="G72" s="8">
        <v>18272370.233750001</v>
      </c>
      <c r="H72" s="8">
        <v>10711837.009585999</v>
      </c>
      <c r="I72" s="8">
        <v>743514.68870000006</v>
      </c>
      <c r="J72" s="8">
        <v>8372776.8455971442</v>
      </c>
      <c r="K72" s="8">
        <v>19828128.543883145</v>
      </c>
      <c r="L72" s="8">
        <v>38100498.777633145</v>
      </c>
      <c r="M72" s="8">
        <v>0</v>
      </c>
      <c r="N72" s="8">
        <v>0</v>
      </c>
      <c r="O72" s="8">
        <v>0</v>
      </c>
      <c r="P72" s="8">
        <v>18272370.233750001</v>
      </c>
      <c r="Q72" s="8">
        <v>19828128.543883145</v>
      </c>
      <c r="R72" s="8">
        <v>38100498.777633145</v>
      </c>
    </row>
    <row r="73" spans="1:18" x14ac:dyDescent="0.25">
      <c r="A73" s="5" t="s">
        <v>75</v>
      </c>
      <c r="B73" s="5" t="s">
        <v>207</v>
      </c>
      <c r="C73" s="6">
        <v>36.713533999999996</v>
      </c>
      <c r="D73" s="7">
        <v>2.6472328507090657E-2</v>
      </c>
      <c r="E73" s="8">
        <v>17588108.201708853</v>
      </c>
      <c r="F73" s="8">
        <v>33087520.819346055</v>
      </c>
      <c r="G73" s="8">
        <v>21746629.4745</v>
      </c>
      <c r="H73" s="8">
        <v>19206947.697708003</v>
      </c>
      <c r="I73" s="8">
        <v>1551380.4221000001</v>
      </c>
      <c r="J73" s="8">
        <v>8976682.7177406717</v>
      </c>
      <c r="K73" s="8">
        <v>29735010.837548673</v>
      </c>
      <c r="L73" s="8">
        <v>51481640.312048674</v>
      </c>
      <c r="M73" s="8">
        <v>0</v>
      </c>
      <c r="N73" s="8">
        <v>0</v>
      </c>
      <c r="O73" s="8">
        <v>0</v>
      </c>
      <c r="P73" s="8">
        <v>21746629.4745</v>
      </c>
      <c r="Q73" s="8">
        <v>29735010.837548673</v>
      </c>
      <c r="R73" s="8">
        <v>51481640.312048674</v>
      </c>
    </row>
    <row r="74" spans="1:18" x14ac:dyDescent="0.25">
      <c r="A74" s="5" t="s">
        <v>76</v>
      </c>
      <c r="B74" s="5" t="s">
        <v>208</v>
      </c>
      <c r="C74" s="6">
        <v>37.789555500000006</v>
      </c>
      <c r="D74" s="7">
        <v>3.8284459569943433E-2</v>
      </c>
      <c r="E74" s="8">
        <v>5983867.4089859677</v>
      </c>
      <c r="F74" s="8">
        <v>15242982.305676315</v>
      </c>
      <c r="G74" s="8">
        <v>13678443.649350001</v>
      </c>
      <c r="H74" s="8">
        <v>6260847.5585294999</v>
      </c>
      <c r="I74" s="8">
        <v>590536.88245000003</v>
      </c>
      <c r="J74" s="8">
        <v>5138950.1839259807</v>
      </c>
      <c r="K74" s="8">
        <v>11990334.62490548</v>
      </c>
      <c r="L74" s="8">
        <v>25668778.274255481</v>
      </c>
      <c r="M74" s="8">
        <v>0</v>
      </c>
      <c r="N74" s="8">
        <v>0</v>
      </c>
      <c r="O74" s="8">
        <v>0</v>
      </c>
      <c r="P74" s="8">
        <v>13678443.649350001</v>
      </c>
      <c r="Q74" s="8">
        <v>11990334.62490548</v>
      </c>
      <c r="R74" s="8">
        <v>25668778.274255481</v>
      </c>
    </row>
    <row r="75" spans="1:18" x14ac:dyDescent="0.25">
      <c r="A75" s="5" t="s">
        <v>77</v>
      </c>
      <c r="B75" s="5" t="s">
        <v>152</v>
      </c>
      <c r="C75" s="6">
        <v>32.968052999999998</v>
      </c>
      <c r="D75" s="7">
        <v>0.12701833384375455</v>
      </c>
      <c r="E75" s="8">
        <v>23288170.763350409</v>
      </c>
      <c r="F75" s="8">
        <v>43782015.595333017</v>
      </c>
      <c r="G75" s="8">
        <v>44276364.6272</v>
      </c>
      <c r="H75" s="8">
        <v>18753262.298768498</v>
      </c>
      <c r="I75" s="8">
        <v>2838281.9121500002</v>
      </c>
      <c r="J75" s="8">
        <v>21965608.246775012</v>
      </c>
      <c r="K75" s="8">
        <v>43557152.457693502</v>
      </c>
      <c r="L75" s="8">
        <v>87833517.08489351</v>
      </c>
      <c r="M75" s="8">
        <v>0</v>
      </c>
      <c r="N75" s="8">
        <v>0</v>
      </c>
      <c r="O75" s="8">
        <v>0</v>
      </c>
      <c r="P75" s="8">
        <v>44276364.6272</v>
      </c>
      <c r="Q75" s="8">
        <v>43557152.457693502</v>
      </c>
      <c r="R75" s="8">
        <v>87833517.08489351</v>
      </c>
    </row>
    <row r="76" spans="1:18" x14ac:dyDescent="0.25">
      <c r="A76" s="5" t="s">
        <v>78</v>
      </c>
      <c r="B76" s="5" t="s">
        <v>209</v>
      </c>
      <c r="C76" s="6">
        <v>32.883776999999995</v>
      </c>
      <c r="D76" s="7">
        <v>0.12459808083692023</v>
      </c>
      <c r="E76" s="8">
        <v>51528641.419008598</v>
      </c>
      <c r="F76" s="8">
        <v>83916670.384768516</v>
      </c>
      <c r="G76" s="8">
        <v>76987037.303599998</v>
      </c>
      <c r="H76" s="8">
        <v>50710765.072292</v>
      </c>
      <c r="I76" s="8">
        <v>653477.99200000009</v>
      </c>
      <c r="J76" s="8">
        <v>47446633.943915032</v>
      </c>
      <c r="K76" s="8">
        <v>98810877.008207023</v>
      </c>
      <c r="L76" s="8">
        <v>175797914.31180704</v>
      </c>
      <c r="M76" s="8">
        <v>0</v>
      </c>
      <c r="N76" s="8">
        <v>0</v>
      </c>
      <c r="O76" s="8">
        <v>0</v>
      </c>
      <c r="P76" s="8">
        <v>76987037.303599998</v>
      </c>
      <c r="Q76" s="8">
        <v>98810877.008207023</v>
      </c>
      <c r="R76" s="8">
        <v>175797914.31180704</v>
      </c>
    </row>
    <row r="80" spans="1:18" ht="16.5" customHeight="1" x14ac:dyDescent="0.25"/>
  </sheetData>
  <customSheetViews>
    <customSheetView guid="{2C63D52F-0547-4395-8CA0-C7353D68F8CD}" scale="80">
      <pane xSplit="2" ySplit="2" topLeftCell="C3" activePane="bottomRight" state="frozen"/>
      <selection pane="bottomRight" activeCell="B1" sqref="B1:F1048576"/>
      <pageMargins left="0.7" right="0.7" top="0.75" bottom="0.75" header="0.3" footer="0.3"/>
      <pageSetup paperSize="9" orientation="portrait" r:id="rId1"/>
    </customSheetView>
    <customSheetView guid="{53A86AE5-34B9-4AAD-8A1B-514545CD4D41}" scale="80">
      <pane xSplit="2" topLeftCell="V1" activePane="topRight" state="frozen"/>
      <selection pane="topRight" activeCell="AJ11" sqref="AJ11"/>
      <pageMargins left="0.7" right="0.7" top="0.75" bottom="0.75" header="0.3" footer="0.3"/>
      <pageSetup paperSize="9" orientation="portrait" r:id="rId2"/>
    </customSheetView>
    <customSheetView guid="{23FC3042-4DA9-4083-9758-54D5110D65D9}" scale="80">
      <pane xSplit="2" ySplit="2" topLeftCell="Z3" activePane="bottomRight" state="frozen"/>
      <selection pane="bottomRight" activeCell="AH3" sqref="AH3"/>
      <pageMargins left="0.7" right="0.7" top="0.75" bottom="0.75" header="0.3" footer="0.3"/>
      <pageSetup paperSize="9" orientation="portrait" r:id="rId3"/>
    </customSheetView>
    <customSheetView guid="{5FBF3CB5-95CF-4C0E-8B39-AC62F6F49BEE}" scale="80">
      <pane xSplit="2" ySplit="1" topLeftCell="I2" activePane="bottomRight" state="frozen"/>
      <selection pane="bottomRight" activeCell="P21" sqref="P21"/>
      <pageMargins left="0.7" right="0.7" top="0.75" bottom="0.75" header="0.3" footer="0.3"/>
      <pageSetup paperSize="9" orientation="portrait" r:id="rId4"/>
    </customSheetView>
    <customSheetView guid="{2CE6916A-B758-47AB-980F-69C7A5893278}" scale="80">
      <pane xSplit="2" ySplit="2" topLeftCell="U3" activePane="bottomRight" state="frozen"/>
      <selection pane="bottomRight" activeCell="AI11" sqref="AI11"/>
      <pageMargins left="0.7" right="0.7" top="0.75" bottom="0.75" header="0.3" footer="0.3"/>
      <pageSetup paperSize="9" orientation="portrait" r:id="rId5"/>
    </customSheetView>
    <customSheetView guid="{8AB850D7-B944-458B-BCC3-5E89642C0267}" scale="80">
      <pane xSplit="2" ySplit="2" topLeftCell="H3" activePane="bottomRight" state="frozen"/>
      <selection pane="bottomRight" activeCell="K3" sqref="K3"/>
      <pageMargins left="0.7" right="0.7" top="0.75" bottom="0.75" header="0.3" footer="0.3"/>
      <pageSetup paperSize="9" orientation="portrait" r:id="rId6"/>
    </customSheetView>
    <customSheetView guid="{DF8BFEF0-0BD5-4622-BE69-0A50F4CB3BF9}" scale="80">
      <pane xSplit="2" ySplit="2" topLeftCell="D15" activePane="bottomRight" state="frozen"/>
      <selection pane="bottomRight" activeCell="Q45" sqref="Q45"/>
      <pageMargins left="0.7" right="0.7" top="0.75" bottom="0.75" header="0.3" footer="0.3"/>
      <pageSetup paperSize="9" orientation="portrait" r:id="rId7"/>
    </customSheetView>
    <customSheetView guid="{567A7DB2-5052-48B6-AF10-DEE353704E6F}" scale="80">
      <pane xSplit="2" ySplit="1.0797546012269938" topLeftCell="C3" activePane="bottomRight" state="frozen"/>
      <selection pane="bottomRight"/>
      <pageMargins left="0.7" right="0.7" top="0.75" bottom="0.75" header="0.3" footer="0.3"/>
      <pageSetup paperSize="9" orientation="portrait" r:id="rId8"/>
    </customSheetView>
    <customSheetView guid="{04200D46-0C53-4477-BAC3-AB4074B626AC}" scale="80">
      <pane xSplit="2" ySplit="2" topLeftCell="C3" activePane="bottomRight" state="frozen"/>
      <selection pane="bottomRight"/>
      <pageMargins left="0.7" right="0.7" top="0.75" bottom="0.75" header="0.3" footer="0.3"/>
      <pageSetup paperSize="9" orientation="portrait" r:id="rId9"/>
    </customSheetView>
    <customSheetView guid="{74E4FC22-AA95-4DF3-A713-5EDF3ADB5B44}" scale="80">
      <pane xSplit="2" ySplit="2" topLeftCell="C3" activePane="bottomRight" state="frozen"/>
      <selection pane="bottomRight"/>
      <pageMargins left="0.7" right="0.7" top="0.75" bottom="0.75" header="0.3" footer="0.3"/>
      <pageSetup paperSize="9" orientation="portrait" r:id="rId10"/>
    </customSheetView>
    <customSheetView guid="{23E6A4DE-893A-46F1-B86D-CF441BE94B8E}" scale="80">
      <pane xSplit="2" ySplit="2" topLeftCell="C3" activePane="bottomRight" state="frozen"/>
      <selection pane="bottomRight" activeCell="J5" sqref="J5"/>
      <pageMargins left="0.7" right="0.7" top="0.75" bottom="0.75" header="0.3" footer="0.3"/>
      <pageSetup paperSize="9" orientation="portrait" r:id="rId11"/>
    </customSheetView>
    <customSheetView guid="{829B6B23-535C-44A1-B480-6154D4D7EB30}" scale="80">
      <pane xSplit="2" ySplit="1" topLeftCell="C3" activePane="bottomRight" state="frozen"/>
      <selection pane="bottomRight"/>
      <pageMargins left="0.7" right="0.7" top="0.75" bottom="0.75" header="0.3" footer="0.3"/>
      <pageSetup paperSize="9" orientation="portrait" r:id="rId12"/>
    </customSheetView>
  </customSheetViews>
  <pageMargins left="0.7" right="0.7" top="0.75" bottom="0.75" header="0.3" footer="0.3"/>
  <pageSetup paperSize="9" fitToHeight="0" orientation="landscape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NVM_1">
    <pageSetUpPr fitToPage="1"/>
  </sheetPr>
  <dimension ref="A1:R80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bestFit="1" customWidth="1"/>
    <col min="2" max="2" width="37.28515625" bestFit="1" customWidth="1"/>
    <col min="3" max="3" width="7.28515625" bestFit="1" customWidth="1"/>
    <col min="4" max="4" width="9.28515625" bestFit="1" customWidth="1"/>
    <col min="5" max="5" width="36.85546875" bestFit="1" customWidth="1"/>
    <col min="6" max="6" width="38.5703125" bestFit="1" customWidth="1"/>
    <col min="7" max="7" width="11.42578125" bestFit="1" customWidth="1"/>
    <col min="8" max="8" width="27.85546875" bestFit="1" customWidth="1"/>
    <col min="9" max="9" width="47.140625" bestFit="1" customWidth="1"/>
    <col min="10" max="10" width="29.7109375" bestFit="1" customWidth="1"/>
    <col min="11" max="11" width="31.140625" bestFit="1" customWidth="1"/>
    <col min="12" max="12" width="82" bestFit="1" customWidth="1"/>
    <col min="13" max="13" width="16" bestFit="1" customWidth="1"/>
    <col min="14" max="14" width="38.7109375" bestFit="1" customWidth="1"/>
    <col min="15" max="15" width="40.5703125" bestFit="1" customWidth="1"/>
    <col min="16" max="16" width="25.42578125" bestFit="1" customWidth="1"/>
    <col min="17" max="17" width="65.42578125" bestFit="1" customWidth="1"/>
    <col min="18" max="18" width="42.140625" bestFit="1" customWidth="1"/>
    <col min="19" max="19" width="19.28515625" bestFit="1" customWidth="1"/>
  </cols>
  <sheetData>
    <row r="1" spans="1:18" ht="39.75" thickBot="1" x14ac:dyDescent="0.3">
      <c r="A1" s="2" t="s">
        <v>104</v>
      </c>
      <c r="B1" s="2" t="s">
        <v>0</v>
      </c>
      <c r="C1" s="2" t="s">
        <v>116</v>
      </c>
      <c r="D1" s="2" t="s">
        <v>123</v>
      </c>
      <c r="E1" s="2" t="s">
        <v>721</v>
      </c>
      <c r="F1" s="2" t="s">
        <v>722</v>
      </c>
      <c r="G1" s="2" t="s">
        <v>117</v>
      </c>
      <c r="H1" s="2" t="s">
        <v>723</v>
      </c>
      <c r="I1" s="2" t="s">
        <v>105</v>
      </c>
      <c r="J1" s="2" t="s">
        <v>119</v>
      </c>
      <c r="K1" s="2" t="s">
        <v>118</v>
      </c>
      <c r="L1" s="2" t="s">
        <v>257</v>
      </c>
      <c r="M1" s="2" t="s">
        <v>106</v>
      </c>
      <c r="N1" s="2" t="s">
        <v>258</v>
      </c>
      <c r="O1" s="2" t="s">
        <v>259</v>
      </c>
      <c r="P1" s="2" t="s">
        <v>120</v>
      </c>
      <c r="Q1" s="2" t="s">
        <v>121</v>
      </c>
      <c r="R1" s="2" t="s">
        <v>681</v>
      </c>
    </row>
    <row r="2" spans="1:18" x14ac:dyDescent="0.25">
      <c r="A2" s="5" t="s">
        <v>1</v>
      </c>
      <c r="B2" s="5" t="s">
        <v>127</v>
      </c>
      <c r="C2" s="6">
        <v>37.435350999999997</v>
      </c>
      <c r="D2" s="7">
        <f>VLOOKUP(A2,'Costdrivere 2024'!$A$2:$AF$86,28,FALSE)</f>
        <v>2.7663269937730068E-2</v>
      </c>
      <c r="E2" s="8">
        <f>SUMPRODUCT(('Costdrivere 2024'!$A$3:$A$95=A2)*'Costdrivere 2024'!$C$3:$G$95)</f>
        <v>5979106.4447825747</v>
      </c>
      <c r="F2" s="8">
        <f>VLOOKUP(A2,'Costdrivere 2024'!$A$2:$AF$86,32,FALSE)</f>
        <v>8717210.9412993714</v>
      </c>
      <c r="G2" s="8">
        <v>3985414</v>
      </c>
      <c r="H2" s="8">
        <v>4849918.2699999996</v>
      </c>
      <c r="I2" s="8">
        <v>0</v>
      </c>
      <c r="J2" s="8">
        <v>3424285.5502407937</v>
      </c>
      <c r="K2" s="8">
        <f t="shared" ref="K2:K33" si="0">SUM(H2:J2)</f>
        <v>8274203.8202407937</v>
      </c>
      <c r="L2" s="8">
        <f>G2+K2</f>
        <v>12259617.820240794</v>
      </c>
      <c r="M2" s="8">
        <v>0</v>
      </c>
      <c r="N2" s="8">
        <v>0</v>
      </c>
      <c r="O2" s="8">
        <v>0</v>
      </c>
      <c r="P2" s="8">
        <f>G2-N2</f>
        <v>3985414</v>
      </c>
      <c r="Q2" s="8">
        <f>K2-M2-O2</f>
        <v>8274203.8202407937</v>
      </c>
      <c r="R2" s="8">
        <f>P2+Q2</f>
        <v>12259617.820240794</v>
      </c>
    </row>
    <row r="3" spans="1:18" x14ac:dyDescent="0.25">
      <c r="A3" s="5" t="s">
        <v>2</v>
      </c>
      <c r="B3" s="5" t="s">
        <v>166</v>
      </c>
      <c r="C3" s="6">
        <v>40.523263</v>
      </c>
      <c r="D3" s="7">
        <f>VLOOKUP(A3,'Costdrivere 2024'!$A$2:$AF$86,28,FALSE)</f>
        <v>7.556394603365521E-2</v>
      </c>
      <c r="E3" s="8">
        <f>SUMPRODUCT(('Costdrivere 2024'!$A$3:$A$95=A3)*'Costdrivere 2024'!$C$3:$G$95)</f>
        <v>4955514.5220208345</v>
      </c>
      <c r="F3" s="8">
        <f>VLOOKUP(A3,'Costdrivere 2024'!$A$2:$AF$86,32,FALSE)</f>
        <v>6515416.9879051754</v>
      </c>
      <c r="G3" s="8">
        <v>8666054</v>
      </c>
      <c r="H3" s="8">
        <v>3691664.1</v>
      </c>
      <c r="I3" s="8">
        <v>501543</v>
      </c>
      <c r="J3" s="8">
        <v>2370277.6788995545</v>
      </c>
      <c r="K3" s="8">
        <f t="shared" si="0"/>
        <v>6563484.7788995542</v>
      </c>
      <c r="L3" s="8">
        <f>G3+K3</f>
        <v>15229538.778899554</v>
      </c>
      <c r="M3" s="8">
        <v>0</v>
      </c>
      <c r="N3" s="8">
        <v>0</v>
      </c>
      <c r="O3" s="8">
        <v>0</v>
      </c>
      <c r="P3" s="8">
        <f>G3-N3</f>
        <v>8666054</v>
      </c>
      <c r="Q3" s="8">
        <f>K3-M3-O3</f>
        <v>6563484.7788995542</v>
      </c>
      <c r="R3" s="8">
        <f t="shared" ref="R3:R66" si="1">P3+Q3</f>
        <v>15229538.778899554</v>
      </c>
    </row>
    <row r="4" spans="1:18" x14ac:dyDescent="0.25">
      <c r="A4" s="5" t="s">
        <v>3</v>
      </c>
      <c r="B4" s="5" t="s">
        <v>167</v>
      </c>
      <c r="C4" s="6">
        <v>39.586571999999997</v>
      </c>
      <c r="D4" s="7">
        <f>VLOOKUP(A4,'Costdrivere 2024'!$A$2:$AF$86,28,FALSE)</f>
        <v>2.5485500967430363E-2</v>
      </c>
      <c r="E4" s="8">
        <f>SUMPRODUCT(('Costdrivere 2024'!$A$3:$A$95=A4)*'Costdrivere 2024'!$C$3:$G$95)</f>
        <v>6603328.6060824171</v>
      </c>
      <c r="F4" s="8">
        <f>VLOOKUP(A4,'Costdrivere 2024'!$A$2:$AF$86,32,FALSE)</f>
        <v>17583614.671363384</v>
      </c>
      <c r="G4" s="8">
        <v>15331596</v>
      </c>
      <c r="H4" s="8">
        <v>10172097.119999999</v>
      </c>
      <c r="I4" s="8">
        <v>195676</v>
      </c>
      <c r="J4" s="8">
        <v>3302715.3602865832</v>
      </c>
      <c r="K4" s="8">
        <f t="shared" si="0"/>
        <v>13670488.480286583</v>
      </c>
      <c r="L4" s="8">
        <f t="shared" ref="L4:L35" si="2">G4+K4</f>
        <v>29002084.480286583</v>
      </c>
      <c r="M4" s="8">
        <v>0</v>
      </c>
      <c r="N4" s="8">
        <v>0</v>
      </c>
      <c r="O4" s="8">
        <v>0</v>
      </c>
      <c r="P4" s="8">
        <f>G4-N4</f>
        <v>15331596</v>
      </c>
      <c r="Q4" s="8">
        <f>K4-M4-O4</f>
        <v>13670488.480286583</v>
      </c>
      <c r="R4" s="8">
        <f t="shared" si="1"/>
        <v>29002084.480286583</v>
      </c>
    </row>
    <row r="5" spans="1:18" x14ac:dyDescent="0.25">
      <c r="A5" s="5" t="s">
        <v>114</v>
      </c>
      <c r="B5" s="5" t="s">
        <v>128</v>
      </c>
      <c r="C5" s="6">
        <v>39.600790000000003</v>
      </c>
      <c r="D5" s="7">
        <f>VLOOKUP(A5,'Costdrivere 2024'!$A$2:$AF$86,28,FALSE)</f>
        <v>1.863722531992899E-2</v>
      </c>
      <c r="E5" s="8">
        <f>SUMPRODUCT(('Costdrivere 2024'!$A$3:$A$95=A5)*'Costdrivere 2024'!$C$3:$G$95)</f>
        <v>3661243.7501966474</v>
      </c>
      <c r="F5" s="8">
        <f>VLOOKUP(A5,'Costdrivere 2024'!$A$2:$AF$86,32,FALSE)</f>
        <v>5074330.102399921</v>
      </c>
      <c r="G5" s="8">
        <v>4518282</v>
      </c>
      <c r="H5" s="8">
        <v>2968595.84</v>
      </c>
      <c r="I5" s="8">
        <v>0</v>
      </c>
      <c r="J5" s="8">
        <v>996664.48383930488</v>
      </c>
      <c r="K5" s="8">
        <f t="shared" si="0"/>
        <v>3965260.323839305</v>
      </c>
      <c r="L5" s="8">
        <f t="shared" si="2"/>
        <v>8483542.323839305</v>
      </c>
      <c r="M5" s="8">
        <v>0</v>
      </c>
      <c r="N5" s="8">
        <v>0</v>
      </c>
      <c r="O5" s="8">
        <v>0</v>
      </c>
      <c r="P5" s="8">
        <f>G5-N5</f>
        <v>4518282</v>
      </c>
      <c r="Q5" s="8">
        <f>K5-M5-O5</f>
        <v>3965260.323839305</v>
      </c>
      <c r="R5" s="8">
        <f t="shared" si="1"/>
        <v>8483542.323839305</v>
      </c>
    </row>
    <row r="6" spans="1:18" x14ac:dyDescent="0.25">
      <c r="A6" s="5" t="s">
        <v>4</v>
      </c>
      <c r="B6" s="5" t="s">
        <v>168</v>
      </c>
      <c r="C6" s="6">
        <v>33.610379000000002</v>
      </c>
      <c r="D6" s="7">
        <f>VLOOKUP(A6,'Costdrivere 2024'!$A$2:$AF$86,28,FALSE)</f>
        <v>1.8432899547606348E-2</v>
      </c>
      <c r="E6" s="8">
        <f>SUMPRODUCT(('Costdrivere 2024'!$A$3:$A$95=A6)*'Costdrivere 2024'!$C$3:$G$95)</f>
        <v>5241499.0958045265</v>
      </c>
      <c r="F6" s="8">
        <f>VLOOKUP(A6,'Costdrivere 2024'!$A$2:$AF$86,32,FALSE)</f>
        <v>10412670.590153003</v>
      </c>
      <c r="G6" s="8">
        <v>6216875</v>
      </c>
      <c r="H6" s="8">
        <v>5780858.3200000003</v>
      </c>
      <c r="I6" s="8">
        <v>72331</v>
      </c>
      <c r="J6" s="8">
        <v>2069831.4073037887</v>
      </c>
      <c r="K6" s="8">
        <f t="shared" si="0"/>
        <v>7923020.727303789</v>
      </c>
      <c r="L6" s="8">
        <f t="shared" si="2"/>
        <v>14139895.727303788</v>
      </c>
      <c r="M6" s="8">
        <v>0</v>
      </c>
      <c r="N6" s="8">
        <v>0</v>
      </c>
      <c r="O6" s="8">
        <v>0</v>
      </c>
      <c r="P6" s="8">
        <f>G6-N6</f>
        <v>6216875</v>
      </c>
      <c r="Q6" s="8">
        <f>K6-M6-O6</f>
        <v>7923020.727303789</v>
      </c>
      <c r="R6" s="8">
        <f t="shared" si="1"/>
        <v>14139895.727303788</v>
      </c>
    </row>
    <row r="7" spans="1:18" x14ac:dyDescent="0.25">
      <c r="A7" s="5" t="s">
        <v>7</v>
      </c>
      <c r="B7" s="5" t="s">
        <v>6</v>
      </c>
      <c r="C7" s="6">
        <v>33.039189</v>
      </c>
      <c r="D7" s="7">
        <f>VLOOKUP(A7,'Costdrivere 2024'!$A$2:$AF$86,28,FALSE)</f>
        <v>5.1223768306037636E-2</v>
      </c>
      <c r="E7" s="8">
        <f>SUMPRODUCT(('Costdrivere 2024'!$A$3:$A$95=A7)*'Costdrivere 2024'!$C$3:$G$95)</f>
        <v>27755481.00198416</v>
      </c>
      <c r="F7" s="8">
        <f>VLOOKUP(A7,'Costdrivere 2024'!$A$2:$AF$86,32,FALSE)</f>
        <v>61031392.193695106</v>
      </c>
      <c r="G7" s="8">
        <v>46530946</v>
      </c>
      <c r="H7" s="8">
        <v>41765788.310000002</v>
      </c>
      <c r="I7" s="8">
        <v>1038729</v>
      </c>
      <c r="J7" s="8">
        <v>20000254.679569062</v>
      </c>
      <c r="K7" s="8">
        <f t="shared" si="0"/>
        <v>62804771.989569068</v>
      </c>
      <c r="L7" s="8">
        <f t="shared" si="2"/>
        <v>109335717.98956907</v>
      </c>
      <c r="M7" s="8">
        <v>0</v>
      </c>
      <c r="N7" s="8">
        <v>0</v>
      </c>
      <c r="O7" s="8">
        <v>0</v>
      </c>
      <c r="P7" s="8">
        <f>G7-N7</f>
        <v>46530946</v>
      </c>
      <c r="Q7" s="8">
        <f>K7-M7-O7</f>
        <v>62804771.989569068</v>
      </c>
      <c r="R7" s="8">
        <f t="shared" si="1"/>
        <v>109335717.98956907</v>
      </c>
    </row>
    <row r="8" spans="1:18" x14ac:dyDescent="0.25">
      <c r="A8" s="5" t="s">
        <v>5</v>
      </c>
      <c r="B8" s="5" t="s">
        <v>169</v>
      </c>
      <c r="C8" s="6">
        <v>36.440676000000003</v>
      </c>
      <c r="D8" s="7">
        <f>VLOOKUP(A8,'Costdrivere 2024'!$A$2:$AF$86,28,FALSE)</f>
        <v>5.20826388028994E-2</v>
      </c>
      <c r="E8" s="8">
        <f>SUMPRODUCT(('Costdrivere 2024'!$A$3:$A$95=A8)*'Costdrivere 2024'!$C$3:$G$95)</f>
        <v>13872167.036367044</v>
      </c>
      <c r="F8" s="8">
        <f>VLOOKUP(A8,'Costdrivere 2024'!$A$2:$AF$86,32,FALSE)</f>
        <v>20343011.429990336</v>
      </c>
      <c r="G8" s="8">
        <v>12037940</v>
      </c>
      <c r="H8" s="8">
        <v>11468519.91</v>
      </c>
      <c r="I8" s="8">
        <v>1017313</v>
      </c>
      <c r="J8" s="8">
        <v>7455221.9491324015</v>
      </c>
      <c r="K8" s="8">
        <f t="shared" si="0"/>
        <v>19941054.859132402</v>
      </c>
      <c r="L8" s="8">
        <f t="shared" si="2"/>
        <v>31978994.859132402</v>
      </c>
      <c r="M8" s="8">
        <v>0</v>
      </c>
      <c r="N8" s="8">
        <v>0</v>
      </c>
      <c r="O8" s="8">
        <v>0</v>
      </c>
      <c r="P8" s="8">
        <f>G8-N8</f>
        <v>12037940</v>
      </c>
      <c r="Q8" s="8">
        <f>K8-M8-O8</f>
        <v>19941054.859132402</v>
      </c>
      <c r="R8" s="8">
        <f t="shared" si="1"/>
        <v>31978994.859132402</v>
      </c>
    </row>
    <row r="9" spans="1:18" x14ac:dyDescent="0.25">
      <c r="A9" s="5" t="s">
        <v>8</v>
      </c>
      <c r="B9" s="5" t="s">
        <v>170</v>
      </c>
      <c r="C9" s="6">
        <v>35.774172</v>
      </c>
      <c r="D9" s="7">
        <f>VLOOKUP(A9,'Costdrivere 2024'!$A$2:$AF$86,28,FALSE)</f>
        <v>3.6072407718959247E-2</v>
      </c>
      <c r="E9" s="8">
        <f>SUMPRODUCT(('Costdrivere 2024'!$A$3:$A$95=A9)*'Costdrivere 2024'!$C$3:$G$95)</f>
        <v>5990516.9004627541</v>
      </c>
      <c r="F9" s="8">
        <f>VLOOKUP(A9,'Costdrivere 2024'!$A$2:$AF$86,32,FALSE)</f>
        <v>8121211.1748568323</v>
      </c>
      <c r="G9" s="8">
        <v>7152931</v>
      </c>
      <c r="H9" s="8">
        <v>3036768.79</v>
      </c>
      <c r="I9" s="8">
        <v>986137</v>
      </c>
      <c r="J9" s="8">
        <v>2815894.6283365558</v>
      </c>
      <c r="K9" s="8">
        <f t="shared" si="0"/>
        <v>6838800.4183365554</v>
      </c>
      <c r="L9" s="8">
        <f t="shared" si="2"/>
        <v>13991731.418336555</v>
      </c>
      <c r="M9" s="8">
        <v>0</v>
      </c>
      <c r="N9" s="8">
        <v>0</v>
      </c>
      <c r="O9" s="8">
        <v>0</v>
      </c>
      <c r="P9" s="8">
        <f>G9-N9</f>
        <v>7152931</v>
      </c>
      <c r="Q9" s="8">
        <f>K9-M9-O9</f>
        <v>6838800.4183365554</v>
      </c>
      <c r="R9" s="8">
        <f t="shared" si="1"/>
        <v>13991731.418336555</v>
      </c>
    </row>
    <row r="10" spans="1:18" x14ac:dyDescent="0.25">
      <c r="A10" s="5" t="s">
        <v>32</v>
      </c>
      <c r="B10" s="5" t="s">
        <v>113</v>
      </c>
      <c r="C10" s="6">
        <v>39.149684999999998</v>
      </c>
      <c r="D10" s="7">
        <f>VLOOKUP(A10,'Costdrivere 2024'!$A$2:$AF$86,28,FALSE)</f>
        <v>9.1929969442429732E-2</v>
      </c>
      <c r="E10" s="8">
        <f>SUMPRODUCT(('Costdrivere 2024'!$A$3:$A$95=A10)*'Costdrivere 2024'!$C$3:$G$95)</f>
        <v>7097240.8552708179</v>
      </c>
      <c r="F10" s="8">
        <f>VLOOKUP(A10,'Costdrivere 2024'!$A$2:$AF$86,32,FALSE)</f>
        <v>10690540.210715342</v>
      </c>
      <c r="G10" s="8">
        <v>12609685</v>
      </c>
      <c r="H10" s="8">
        <v>4908623.5199999996</v>
      </c>
      <c r="I10" s="8">
        <v>364621</v>
      </c>
      <c r="J10" s="8">
        <v>3537372.3620028784</v>
      </c>
      <c r="K10" s="8">
        <f t="shared" si="0"/>
        <v>8810616.8820028789</v>
      </c>
      <c r="L10" s="8">
        <f t="shared" si="2"/>
        <v>21420301.882002879</v>
      </c>
      <c r="M10" s="8">
        <v>0</v>
      </c>
      <c r="N10" s="8">
        <v>0</v>
      </c>
      <c r="O10" s="8">
        <v>0</v>
      </c>
      <c r="P10" s="8">
        <f>G10-N10</f>
        <v>12609685</v>
      </c>
      <c r="Q10" s="8">
        <f>K10-M10-O10</f>
        <v>8810616.8820028789</v>
      </c>
      <c r="R10" s="8">
        <f t="shared" si="1"/>
        <v>21420301.882002879</v>
      </c>
    </row>
    <row r="11" spans="1:18" x14ac:dyDescent="0.25">
      <c r="A11" s="5" t="s">
        <v>53</v>
      </c>
      <c r="B11" s="5" t="s">
        <v>129</v>
      </c>
      <c r="C11" s="6">
        <v>47.112755</v>
      </c>
      <c r="D11" s="7">
        <f>VLOOKUP(A11,'Costdrivere 2024'!$A$2:$AF$86,28,FALSE)</f>
        <v>0.1136159086762439</v>
      </c>
      <c r="E11" s="8">
        <f>SUMPRODUCT(('Costdrivere 2024'!$A$3:$A$95=A11)*'Costdrivere 2024'!$C$3:$G$95)</f>
        <v>12568091.52120265</v>
      </c>
      <c r="F11" s="8">
        <f>VLOOKUP(A11,'Costdrivere 2024'!$A$2:$AF$86,32,FALSE)</f>
        <v>18478569.478864547</v>
      </c>
      <c r="G11" s="8">
        <v>24423820</v>
      </c>
      <c r="H11" s="8">
        <v>9023092.3699999992</v>
      </c>
      <c r="I11" s="8">
        <v>396707</v>
      </c>
      <c r="J11" s="8">
        <v>6379974.3475818066</v>
      </c>
      <c r="K11" s="8">
        <f t="shared" si="0"/>
        <v>15799773.717581805</v>
      </c>
      <c r="L11" s="8">
        <f t="shared" si="2"/>
        <v>40223593.717581809</v>
      </c>
      <c r="M11" s="8">
        <v>0</v>
      </c>
      <c r="N11" s="8">
        <v>0</v>
      </c>
      <c r="O11" s="8">
        <v>0</v>
      </c>
      <c r="P11" s="8">
        <f>G11-N11</f>
        <v>24423820</v>
      </c>
      <c r="Q11" s="8">
        <f>K11-M11-O11</f>
        <v>15799773.717581805</v>
      </c>
      <c r="R11" s="8">
        <f t="shared" si="1"/>
        <v>40223593.717581809</v>
      </c>
    </row>
    <row r="12" spans="1:18" x14ac:dyDescent="0.25">
      <c r="A12" s="5" t="s">
        <v>9</v>
      </c>
      <c r="B12" s="5" t="s">
        <v>171</v>
      </c>
      <c r="C12" s="6">
        <v>29.121957999999999</v>
      </c>
      <c r="D12" s="7">
        <f>VLOOKUP(A12,'Costdrivere 2024'!$A$2:$AF$86,28,FALSE)</f>
        <v>9.8157463634014494E-2</v>
      </c>
      <c r="E12" s="8">
        <f>SUMPRODUCT(('Costdrivere 2024'!$A$3:$A$95=A12)*'Costdrivere 2024'!$C$3:$G$95)</f>
        <v>10532634.133674284</v>
      </c>
      <c r="F12" s="8">
        <f>VLOOKUP(A12,'Costdrivere 2024'!$A$2:$AF$86,32,FALSE)</f>
        <v>21640486.533418104</v>
      </c>
      <c r="G12" s="8">
        <v>22763824</v>
      </c>
      <c r="H12" s="8">
        <v>15163687.560000001</v>
      </c>
      <c r="I12" s="8">
        <v>2042414</v>
      </c>
      <c r="J12" s="8">
        <v>14428468.40440416</v>
      </c>
      <c r="K12" s="8">
        <f t="shared" si="0"/>
        <v>31634569.964404162</v>
      </c>
      <c r="L12" s="8">
        <f t="shared" si="2"/>
        <v>54398393.964404166</v>
      </c>
      <c r="M12" s="8">
        <v>0</v>
      </c>
      <c r="N12" s="8">
        <v>0</v>
      </c>
      <c r="O12" s="8">
        <v>0</v>
      </c>
      <c r="P12" s="8">
        <f>G12-N12</f>
        <v>22763824</v>
      </c>
      <c r="Q12" s="8">
        <f>K12-M12-O12</f>
        <v>31634569.964404162</v>
      </c>
      <c r="R12" s="8">
        <f t="shared" si="1"/>
        <v>54398393.964404166</v>
      </c>
    </row>
    <row r="13" spans="1:18" x14ac:dyDescent="0.25">
      <c r="A13" s="5" t="s">
        <v>10</v>
      </c>
      <c r="B13" s="5" t="s">
        <v>172</v>
      </c>
      <c r="C13" s="6">
        <v>41.453187</v>
      </c>
      <c r="D13" s="7">
        <f>VLOOKUP(A13,'Costdrivere 2024'!$A$2:$AF$86,28,FALSE)</f>
        <v>6.6557886406049996E-2</v>
      </c>
      <c r="E13" s="8">
        <f>SUMPRODUCT(('Costdrivere 2024'!$A$3:$A$95=A13)*'Costdrivere 2024'!$C$3:$G$95)</f>
        <v>5552843.3076275792</v>
      </c>
      <c r="F13" s="8">
        <f>VLOOKUP(A13,'Costdrivere 2024'!$A$2:$AF$86,32,FALSE)</f>
        <v>11224628.882547041</v>
      </c>
      <c r="G13" s="8">
        <v>7390574</v>
      </c>
      <c r="H13" s="8">
        <v>6187150.1200000001</v>
      </c>
      <c r="I13" s="8">
        <v>7304</v>
      </c>
      <c r="J13" s="8">
        <v>2940223.2595677255</v>
      </c>
      <c r="K13" s="8">
        <f t="shared" si="0"/>
        <v>9134677.3795677256</v>
      </c>
      <c r="L13" s="8">
        <f t="shared" si="2"/>
        <v>16525251.379567726</v>
      </c>
      <c r="M13" s="8">
        <v>0</v>
      </c>
      <c r="N13" s="8">
        <v>0</v>
      </c>
      <c r="O13" s="8">
        <v>0</v>
      </c>
      <c r="P13" s="8">
        <f>G13-N13</f>
        <v>7390574</v>
      </c>
      <c r="Q13" s="8">
        <f>K13-M13-O13</f>
        <v>9134677.3795677256</v>
      </c>
      <c r="R13" s="8">
        <f t="shared" si="1"/>
        <v>16525251.379567726</v>
      </c>
    </row>
    <row r="14" spans="1:18" x14ac:dyDescent="0.25">
      <c r="A14" s="5" t="s">
        <v>11</v>
      </c>
      <c r="B14" s="5" t="s">
        <v>173</v>
      </c>
      <c r="C14" s="6">
        <v>29.230453000000001</v>
      </c>
      <c r="D14" s="7">
        <f>VLOOKUP(A14,'Costdrivere 2024'!$A$2:$AF$86,28,FALSE)</f>
        <v>0.37655578353587188</v>
      </c>
      <c r="E14" s="8">
        <f>SUMPRODUCT(('Costdrivere 2024'!$A$3:$A$95=A14)*'Costdrivere 2024'!$C$3:$G$95)</f>
        <v>16908096.465162378</v>
      </c>
      <c r="F14" s="8">
        <f>VLOOKUP(A14,'Costdrivere 2024'!$A$2:$AF$86,32,FALSE)</f>
        <v>14129110.76498913</v>
      </c>
      <c r="G14" s="8">
        <v>37900094</v>
      </c>
      <c r="H14" s="8">
        <v>3342389.59</v>
      </c>
      <c r="I14" s="8">
        <v>13549847</v>
      </c>
      <c r="J14" s="8">
        <v>21243260.281538762</v>
      </c>
      <c r="K14" s="8">
        <f t="shared" si="0"/>
        <v>38135496.871538758</v>
      </c>
      <c r="L14" s="8">
        <f t="shared" si="2"/>
        <v>76035590.871538758</v>
      </c>
      <c r="M14" s="8">
        <v>7000915</v>
      </c>
      <c r="N14" s="8">
        <v>0</v>
      </c>
      <c r="O14" s="8">
        <v>0</v>
      </c>
      <c r="P14" s="8">
        <f>G14-N14</f>
        <v>37900094</v>
      </c>
      <c r="Q14" s="8">
        <f>K14-M14-O14</f>
        <v>31134581.871538758</v>
      </c>
      <c r="R14" s="8">
        <f t="shared" si="1"/>
        <v>69034675.871538758</v>
      </c>
    </row>
    <row r="15" spans="1:18" x14ac:dyDescent="0.25">
      <c r="A15" s="5" t="s">
        <v>12</v>
      </c>
      <c r="B15" s="5" t="s">
        <v>174</v>
      </c>
      <c r="C15" s="6">
        <v>36.256326000000001</v>
      </c>
      <c r="D15" s="7">
        <f>VLOOKUP(A15,'Costdrivere 2024'!$A$2:$AF$86,28,FALSE)</f>
        <v>3.0679319904440221E-2</v>
      </c>
      <c r="E15" s="8">
        <f>SUMPRODUCT(('Costdrivere 2024'!$A$3:$A$95=A15)*'Costdrivere 2024'!$C$3:$G$95)</f>
        <v>19687392.098243944</v>
      </c>
      <c r="F15" s="8">
        <f>VLOOKUP(A15,'Costdrivere 2024'!$A$2:$AF$86,32,FALSE)</f>
        <v>46369919.642509118</v>
      </c>
      <c r="G15" s="8">
        <v>32037899</v>
      </c>
      <c r="H15" s="8">
        <v>26034877.489999998</v>
      </c>
      <c r="I15" s="8">
        <v>5824482</v>
      </c>
      <c r="J15" s="8">
        <v>18685378.218867611</v>
      </c>
      <c r="K15" s="8">
        <f t="shared" si="0"/>
        <v>50544737.70886761</v>
      </c>
      <c r="L15" s="8">
        <f t="shared" si="2"/>
        <v>82582636.70886761</v>
      </c>
      <c r="M15" s="8">
        <v>0</v>
      </c>
      <c r="N15" s="8">
        <v>0</v>
      </c>
      <c r="O15" s="8">
        <v>0</v>
      </c>
      <c r="P15" s="8">
        <f>G15-N15</f>
        <v>32037899</v>
      </c>
      <c r="Q15" s="8">
        <f>K15-M15-O15</f>
        <v>50544737.70886761</v>
      </c>
      <c r="R15" s="8">
        <f t="shared" si="1"/>
        <v>82582636.70886761</v>
      </c>
    </row>
    <row r="16" spans="1:18" x14ac:dyDescent="0.25">
      <c r="A16" s="5" t="s">
        <v>13</v>
      </c>
      <c r="B16" s="5" t="s">
        <v>130</v>
      </c>
      <c r="C16" s="6">
        <v>37.890225999999998</v>
      </c>
      <c r="D16" s="7">
        <f>VLOOKUP(A16,'Costdrivere 2024'!$A$2:$AF$86,28,FALSE)</f>
        <v>5.4552724510295761E-2</v>
      </c>
      <c r="E16" s="8">
        <f>SUMPRODUCT(('Costdrivere 2024'!$A$3:$A$95=A16)*'Costdrivere 2024'!$C$3:$G$95)</f>
        <v>7161652.9952553296</v>
      </c>
      <c r="F16" s="8">
        <f>VLOOKUP(A16,'Costdrivere 2024'!$A$2:$AF$86,32,FALSE)</f>
        <v>12439331.562838767</v>
      </c>
      <c r="G16" s="8">
        <v>9474655</v>
      </c>
      <c r="H16" s="8">
        <v>6940883.9000000004</v>
      </c>
      <c r="I16" s="8">
        <v>2479000</v>
      </c>
      <c r="J16" s="8">
        <v>7129891.5271266568</v>
      </c>
      <c r="K16" s="8">
        <f t="shared" si="0"/>
        <v>16549775.427126657</v>
      </c>
      <c r="L16" s="8">
        <f t="shared" si="2"/>
        <v>26024430.427126657</v>
      </c>
      <c r="M16" s="8">
        <v>0</v>
      </c>
      <c r="N16" s="8">
        <v>0</v>
      </c>
      <c r="O16" s="8">
        <v>0</v>
      </c>
      <c r="P16" s="8">
        <f>G16-N16</f>
        <v>9474655</v>
      </c>
      <c r="Q16" s="8">
        <f>K16-M16-O16</f>
        <v>16549775.427126657</v>
      </c>
      <c r="R16" s="8">
        <f t="shared" si="1"/>
        <v>26024430.427126657</v>
      </c>
    </row>
    <row r="17" spans="1:18" x14ac:dyDescent="0.25">
      <c r="A17" s="5" t="s">
        <v>15</v>
      </c>
      <c r="B17" s="5" t="s">
        <v>14</v>
      </c>
      <c r="C17" s="6">
        <v>37.015143999999999</v>
      </c>
      <c r="D17" s="7">
        <f>VLOOKUP(A17,'Costdrivere 2024'!$A$2:$AF$86,28,FALSE)</f>
        <v>7.8157939410047297E-2</v>
      </c>
      <c r="E17" s="8">
        <f>SUMPRODUCT(('Costdrivere 2024'!$A$3:$A$95=A17)*'Costdrivere 2024'!$C$3:$G$95)</f>
        <v>7807304.171482604</v>
      </c>
      <c r="F17" s="8">
        <f>VLOOKUP(A17,'Costdrivere 2024'!$A$2:$AF$86,32,FALSE)</f>
        <v>12485163.872556832</v>
      </c>
      <c r="G17" s="8">
        <v>11539997</v>
      </c>
      <c r="H17" s="8">
        <v>6384886.1200000001</v>
      </c>
      <c r="I17" s="8">
        <v>842294</v>
      </c>
      <c r="J17" s="8">
        <v>5337806.2117546229</v>
      </c>
      <c r="K17" s="8">
        <f t="shared" si="0"/>
        <v>12564986.331754623</v>
      </c>
      <c r="L17" s="8">
        <f t="shared" si="2"/>
        <v>24104983.331754625</v>
      </c>
      <c r="M17" s="8">
        <v>0</v>
      </c>
      <c r="N17" s="8">
        <v>0</v>
      </c>
      <c r="O17" s="8">
        <v>0</v>
      </c>
      <c r="P17" s="8">
        <f>G17-N17</f>
        <v>11539997</v>
      </c>
      <c r="Q17" s="8">
        <f>K17-M17-O17</f>
        <v>12564986.331754623</v>
      </c>
      <c r="R17" s="8">
        <f t="shared" si="1"/>
        <v>24104983.331754625</v>
      </c>
    </row>
    <row r="18" spans="1:18" x14ac:dyDescent="0.25">
      <c r="A18" s="5" t="s">
        <v>16</v>
      </c>
      <c r="B18" s="5" t="s">
        <v>131</v>
      </c>
      <c r="C18" s="6">
        <v>32.375400999999997</v>
      </c>
      <c r="D18" s="7">
        <f>VLOOKUP(A18,'Costdrivere 2024'!$A$2:$AF$86,28,FALSE)</f>
        <v>0.14133068064833726</v>
      </c>
      <c r="E18" s="8">
        <f>SUMPRODUCT(('Costdrivere 2024'!$A$3:$A$95=A18)*'Costdrivere 2024'!$C$3:$G$95)</f>
        <v>11744298.083589125</v>
      </c>
      <c r="F18" s="8">
        <f>VLOOKUP(A18,'Costdrivere 2024'!$A$2:$AF$86,32,FALSE)</f>
        <v>16268325.816793976</v>
      </c>
      <c r="G18" s="8">
        <v>22709970</v>
      </c>
      <c r="H18" s="8">
        <v>5453747.3300000001</v>
      </c>
      <c r="I18" s="8">
        <v>11030000</v>
      </c>
      <c r="J18" s="8">
        <v>12327019.926112171</v>
      </c>
      <c r="K18" s="8">
        <f t="shared" si="0"/>
        <v>28810767.256112173</v>
      </c>
      <c r="L18" s="8">
        <f t="shared" si="2"/>
        <v>51520737.256112173</v>
      </c>
      <c r="M18" s="8">
        <v>0</v>
      </c>
      <c r="N18" s="8">
        <v>0</v>
      </c>
      <c r="O18" s="8">
        <v>0</v>
      </c>
      <c r="P18" s="8">
        <f>G18-N18</f>
        <v>22709970</v>
      </c>
      <c r="Q18" s="8">
        <f>K18-M18-O18</f>
        <v>28810767.256112173</v>
      </c>
      <c r="R18" s="8">
        <f t="shared" si="1"/>
        <v>51520737.256112173</v>
      </c>
    </row>
    <row r="19" spans="1:18" x14ac:dyDescent="0.25">
      <c r="A19" s="5" t="s">
        <v>17</v>
      </c>
      <c r="B19" s="5" t="s">
        <v>132</v>
      </c>
      <c r="C19" s="6">
        <v>29.239895000000001</v>
      </c>
      <c r="D19" s="7">
        <f>VLOOKUP(A19,'Costdrivere 2024'!$A$2:$AF$86,28,FALSE)</f>
        <v>0.18045161391763112</v>
      </c>
      <c r="E19" s="8">
        <f>SUMPRODUCT(('Costdrivere 2024'!$A$3:$A$95=A19)*'Costdrivere 2024'!$C$3:$G$95)</f>
        <v>8304589.5447790409</v>
      </c>
      <c r="F19" s="8">
        <f>VLOOKUP(A19,'Costdrivere 2024'!$A$2:$AF$86,32,FALSE)</f>
        <v>11609587.985259937</v>
      </c>
      <c r="G19" s="8">
        <v>15879101</v>
      </c>
      <c r="H19" s="8">
        <v>3953330.97</v>
      </c>
      <c r="I19" s="8">
        <v>10947000</v>
      </c>
      <c r="J19" s="8">
        <v>11741972.939565137</v>
      </c>
      <c r="K19" s="8">
        <f t="shared" si="0"/>
        <v>26642303.909565136</v>
      </c>
      <c r="L19" s="8">
        <f t="shared" si="2"/>
        <v>42521404.909565136</v>
      </c>
      <c r="M19" s="8">
        <v>0</v>
      </c>
      <c r="N19" s="8">
        <v>0</v>
      </c>
      <c r="O19" s="8">
        <v>0</v>
      </c>
      <c r="P19" s="8">
        <f>G19-N19</f>
        <v>15879101</v>
      </c>
      <c r="Q19" s="8">
        <f>K19-M19-O19</f>
        <v>26642303.909565136</v>
      </c>
      <c r="R19" s="8">
        <f t="shared" si="1"/>
        <v>42521404.909565136</v>
      </c>
    </row>
    <row r="20" spans="1:18" x14ac:dyDescent="0.25">
      <c r="A20" s="5" t="s">
        <v>18</v>
      </c>
      <c r="B20" s="5" t="s">
        <v>175</v>
      </c>
      <c r="C20" s="6">
        <v>34.155087999999999</v>
      </c>
      <c r="D20" s="7">
        <f>VLOOKUP(A20,'Costdrivere 2024'!$A$2:$AF$86,28,FALSE)</f>
        <v>0.14954000162113965</v>
      </c>
      <c r="E20" s="8">
        <f>SUMPRODUCT(('Costdrivere 2024'!$A$3:$A$95=A20)*'Costdrivere 2024'!$C$3:$G$95)</f>
        <v>4741828.9506384218</v>
      </c>
      <c r="F20" s="8">
        <f>VLOOKUP(A20,'Costdrivere 2024'!$A$2:$AF$86,32,FALSE)</f>
        <v>6442561.4203213081</v>
      </c>
      <c r="G20" s="8">
        <v>5971901</v>
      </c>
      <c r="H20" s="8">
        <v>2736661.11</v>
      </c>
      <c r="I20" s="8">
        <v>1136607</v>
      </c>
      <c r="J20" s="8">
        <v>4276629.3254356477</v>
      </c>
      <c r="K20" s="8">
        <f t="shared" si="0"/>
        <v>8149897.4354356471</v>
      </c>
      <c r="L20" s="8">
        <f t="shared" si="2"/>
        <v>14121798.435435647</v>
      </c>
      <c r="M20" s="8">
        <v>0</v>
      </c>
      <c r="N20" s="8">
        <v>651447</v>
      </c>
      <c r="O20" s="8">
        <v>425915</v>
      </c>
      <c r="P20" s="8">
        <f>G20-N20</f>
        <v>5320454</v>
      </c>
      <c r="Q20" s="8">
        <f>K20-M20-O20</f>
        <v>7723982.4354356471</v>
      </c>
      <c r="R20" s="8">
        <f t="shared" si="1"/>
        <v>13044436.435435647</v>
      </c>
    </row>
    <row r="21" spans="1:18" x14ac:dyDescent="0.25">
      <c r="A21" s="5" t="s">
        <v>19</v>
      </c>
      <c r="B21" s="5" t="s">
        <v>133</v>
      </c>
      <c r="C21" s="6">
        <v>36.747649000000003</v>
      </c>
      <c r="D21" s="7">
        <f>VLOOKUP(A21,'Costdrivere 2024'!$A$2:$AF$86,28,FALSE)</f>
        <v>5.8462557123516855E-2</v>
      </c>
      <c r="E21" s="8">
        <f>SUMPRODUCT(('Costdrivere 2024'!$A$3:$A$95=A21)*'Costdrivere 2024'!$C$3:$G$95)</f>
        <v>9617063.7040661201</v>
      </c>
      <c r="F21" s="8">
        <f>VLOOKUP(A21,'Costdrivere 2024'!$A$2:$AF$86,32,FALSE)</f>
        <v>24937973.078587409</v>
      </c>
      <c r="G21" s="8">
        <v>11098199</v>
      </c>
      <c r="H21" s="8">
        <v>8442890.6799999997</v>
      </c>
      <c r="I21" s="8">
        <v>396961</v>
      </c>
      <c r="J21" s="8">
        <v>6175347.7537175911</v>
      </c>
      <c r="K21" s="8">
        <f t="shared" si="0"/>
        <v>15015199.43371759</v>
      </c>
      <c r="L21" s="8">
        <f t="shared" si="2"/>
        <v>26113398.43371759</v>
      </c>
      <c r="M21" s="8">
        <v>0</v>
      </c>
      <c r="N21" s="8">
        <v>0</v>
      </c>
      <c r="O21" s="8">
        <v>0</v>
      </c>
      <c r="P21" s="8">
        <f>G21-N21</f>
        <v>11098199</v>
      </c>
      <c r="Q21" s="8">
        <f>K21-M21-O21</f>
        <v>15015199.43371759</v>
      </c>
      <c r="R21" s="8">
        <f t="shared" si="1"/>
        <v>26113398.43371759</v>
      </c>
    </row>
    <row r="22" spans="1:18" x14ac:dyDescent="0.25">
      <c r="A22" s="5" t="s">
        <v>20</v>
      </c>
      <c r="B22" s="5" t="s">
        <v>134</v>
      </c>
      <c r="C22" s="6">
        <v>36.936247000000002</v>
      </c>
      <c r="D22" s="7">
        <f>VLOOKUP(A22,'Costdrivere 2024'!$A$2:$AF$86,28,FALSE)</f>
        <v>2.8260945309263784E-2</v>
      </c>
      <c r="E22" s="8">
        <f>SUMPRODUCT(('Costdrivere 2024'!$A$3:$A$95=A22)*'Costdrivere 2024'!$C$3:$G$95)</f>
        <v>4320620.4326852048</v>
      </c>
      <c r="F22" s="8">
        <f>VLOOKUP(A22,'Costdrivere 2024'!$A$2:$AF$86,32,FALSE)</f>
        <v>7506373.1539914059</v>
      </c>
      <c r="G22" s="8">
        <v>6767560</v>
      </c>
      <c r="H22" s="8">
        <v>4944955.3499999996</v>
      </c>
      <c r="I22" s="8">
        <v>258937</v>
      </c>
      <c r="J22" s="8">
        <v>1201183.3019640739</v>
      </c>
      <c r="K22" s="8">
        <f t="shared" si="0"/>
        <v>6405075.651964074</v>
      </c>
      <c r="L22" s="8">
        <f t="shared" si="2"/>
        <v>13172635.651964074</v>
      </c>
      <c r="M22" s="8">
        <v>0</v>
      </c>
      <c r="N22" s="8">
        <v>0</v>
      </c>
      <c r="O22" s="8">
        <v>0</v>
      </c>
      <c r="P22" s="8">
        <f>G22-N22</f>
        <v>6767560</v>
      </c>
      <c r="Q22" s="8">
        <f>K22-M22-O22</f>
        <v>6405075.651964074</v>
      </c>
      <c r="R22" s="8">
        <f t="shared" si="1"/>
        <v>13172635.651964074</v>
      </c>
    </row>
    <row r="23" spans="1:18" x14ac:dyDescent="0.25">
      <c r="A23" s="5" t="s">
        <v>21</v>
      </c>
      <c r="B23" s="5" t="s">
        <v>176</v>
      </c>
      <c r="C23" s="6">
        <v>37.026690000000002</v>
      </c>
      <c r="D23" s="7">
        <f>VLOOKUP(A23,'Costdrivere 2024'!$A$2:$AF$86,28,FALSE)</f>
        <v>7.4561589250996166E-2</v>
      </c>
      <c r="E23" s="8">
        <f>SUMPRODUCT(('Costdrivere 2024'!$A$3:$A$95=A23)*'Costdrivere 2024'!$C$3:$G$95)</f>
        <v>6050654.8259551348</v>
      </c>
      <c r="F23" s="8">
        <f>VLOOKUP(A23,'Costdrivere 2024'!$A$2:$AF$86,32,FALSE)</f>
        <v>12349945.86284361</v>
      </c>
      <c r="G23" s="8">
        <v>8064755</v>
      </c>
      <c r="H23" s="8">
        <v>5364522.1900000004</v>
      </c>
      <c r="I23" s="8">
        <v>1408839</v>
      </c>
      <c r="J23" s="8">
        <v>5863411.4535228834</v>
      </c>
      <c r="K23" s="8">
        <f t="shared" si="0"/>
        <v>12636772.643522885</v>
      </c>
      <c r="L23" s="8">
        <f t="shared" si="2"/>
        <v>20701527.643522885</v>
      </c>
      <c r="M23" s="8">
        <v>0</v>
      </c>
      <c r="N23" s="8">
        <v>0</v>
      </c>
      <c r="O23" s="8">
        <v>0</v>
      </c>
      <c r="P23" s="8">
        <f>G23-N23</f>
        <v>8064755</v>
      </c>
      <c r="Q23" s="8">
        <f>K23-M23-O23</f>
        <v>12636772.643522885</v>
      </c>
      <c r="R23" s="8">
        <f t="shared" si="1"/>
        <v>20701527.643522885</v>
      </c>
    </row>
    <row r="24" spans="1:18" x14ac:dyDescent="0.25">
      <c r="A24" s="5" t="s">
        <v>22</v>
      </c>
      <c r="B24" s="5" t="s">
        <v>177</v>
      </c>
      <c r="C24" s="6">
        <v>33.892055999999997</v>
      </c>
      <c r="D24" s="7">
        <f>VLOOKUP(A24,'Costdrivere 2024'!$A$2:$AF$86,28,FALSE)</f>
        <v>4.2410207331741584E-2</v>
      </c>
      <c r="E24" s="8">
        <f>SUMPRODUCT(('Costdrivere 2024'!$A$3:$A$95=A24)*'Costdrivere 2024'!$C$3:$G$95)</f>
        <v>9946574.1902716197</v>
      </c>
      <c r="F24" s="8">
        <f>VLOOKUP(A24,'Costdrivere 2024'!$A$2:$AF$86,32,FALSE)</f>
        <v>15572637.514121603</v>
      </c>
      <c r="G24" s="8">
        <v>8924447</v>
      </c>
      <c r="H24" s="8">
        <v>8265288.0099999998</v>
      </c>
      <c r="I24" s="8">
        <v>3190000</v>
      </c>
      <c r="J24" s="8">
        <v>9599593.4841109682</v>
      </c>
      <c r="K24" s="8">
        <f t="shared" si="0"/>
        <v>21054881.494110968</v>
      </c>
      <c r="L24" s="8">
        <f t="shared" si="2"/>
        <v>29979328.494110968</v>
      </c>
      <c r="M24" s="8">
        <v>0</v>
      </c>
      <c r="N24" s="8">
        <v>0</v>
      </c>
      <c r="O24" s="8">
        <v>0</v>
      </c>
      <c r="P24" s="8">
        <f>G24-N24</f>
        <v>8924447</v>
      </c>
      <c r="Q24" s="8">
        <f>K24-M24-O24</f>
        <v>21054881.494110968</v>
      </c>
      <c r="R24" s="8">
        <f t="shared" si="1"/>
        <v>29979328.494110968</v>
      </c>
    </row>
    <row r="25" spans="1:18" x14ac:dyDescent="0.25">
      <c r="A25" s="5" t="s">
        <v>23</v>
      </c>
      <c r="B25" s="5" t="s">
        <v>178</v>
      </c>
      <c r="C25" s="6">
        <v>35.169868999999998</v>
      </c>
      <c r="D25" s="7">
        <f>VLOOKUP(A25,'Costdrivere 2024'!$A$2:$AF$86,28,FALSE)</f>
        <v>2.6628648606432218E-2</v>
      </c>
      <c r="E25" s="8">
        <f>SUMPRODUCT(('Costdrivere 2024'!$A$3:$A$95=A25)*'Costdrivere 2024'!$C$3:$G$95)</f>
        <v>13111118.425213967</v>
      </c>
      <c r="F25" s="8">
        <f>VLOOKUP(A25,'Costdrivere 2024'!$A$2:$AF$86,32,FALSE)</f>
        <v>23450511.316644706</v>
      </c>
      <c r="G25" s="8">
        <v>16281445</v>
      </c>
      <c r="H25" s="8">
        <v>17110821.23</v>
      </c>
      <c r="I25" s="8">
        <v>12793</v>
      </c>
      <c r="J25" s="8">
        <v>7150204.015528826</v>
      </c>
      <c r="K25" s="8">
        <f t="shared" si="0"/>
        <v>24273818.245528825</v>
      </c>
      <c r="L25" s="8">
        <f t="shared" si="2"/>
        <v>40555263.245528825</v>
      </c>
      <c r="M25" s="8">
        <v>0</v>
      </c>
      <c r="N25" s="8">
        <v>0</v>
      </c>
      <c r="O25" s="8">
        <v>0</v>
      </c>
      <c r="P25" s="8">
        <f>G25-N25</f>
        <v>16281445</v>
      </c>
      <c r="Q25" s="8">
        <f>K25-M25-O25</f>
        <v>24273818.245528825</v>
      </c>
      <c r="R25" s="8">
        <f t="shared" si="1"/>
        <v>40555263.245528825</v>
      </c>
    </row>
    <row r="26" spans="1:18" x14ac:dyDescent="0.25">
      <c r="A26" s="5" t="s">
        <v>24</v>
      </c>
      <c r="B26" s="5" t="s">
        <v>135</v>
      </c>
      <c r="C26" s="6">
        <v>35.729464999999998</v>
      </c>
      <c r="D26" s="7">
        <f>VLOOKUP(A26,'Costdrivere 2024'!$A$2:$AF$86,28,FALSE)</f>
        <v>7.6756185072010888E-2</v>
      </c>
      <c r="E26" s="8">
        <f>SUMPRODUCT(('Costdrivere 2024'!$A$3:$A$95=A26)*'Costdrivere 2024'!$C$3:$G$95)</f>
        <v>5687225.6318468451</v>
      </c>
      <c r="F26" s="8">
        <f>VLOOKUP(A26,'Costdrivere 2024'!$A$2:$AF$86,32,FALSE)</f>
        <v>10695082.643740075</v>
      </c>
      <c r="G26" s="8">
        <v>19358079</v>
      </c>
      <c r="H26" s="8">
        <v>5410793.7999999998</v>
      </c>
      <c r="I26" s="8">
        <v>2047491</v>
      </c>
      <c r="J26" s="8">
        <v>4659184.4744170671</v>
      </c>
      <c r="K26" s="8">
        <f t="shared" si="0"/>
        <v>12117469.274417067</v>
      </c>
      <c r="L26" s="8">
        <f t="shared" si="2"/>
        <v>31475548.274417065</v>
      </c>
      <c r="M26" s="8">
        <v>0</v>
      </c>
      <c r="N26" s="8">
        <v>0</v>
      </c>
      <c r="O26" s="8">
        <v>0</v>
      </c>
      <c r="P26" s="8">
        <f>G26-N26</f>
        <v>19358079</v>
      </c>
      <c r="Q26" s="8">
        <f>K26-M26-O26</f>
        <v>12117469.274417067</v>
      </c>
      <c r="R26" s="8">
        <f t="shared" si="1"/>
        <v>31475548.274417065</v>
      </c>
    </row>
    <row r="27" spans="1:18" x14ac:dyDescent="0.25">
      <c r="A27" s="5" t="s">
        <v>25</v>
      </c>
      <c r="B27" s="5" t="s">
        <v>179</v>
      </c>
      <c r="C27" s="6">
        <v>37.833852</v>
      </c>
      <c r="D27" s="7">
        <f>VLOOKUP(A27,'Costdrivere 2024'!$A$2:$AF$86,28,FALSE)</f>
        <v>3.6481484456214186E-2</v>
      </c>
      <c r="E27" s="8">
        <f>SUMPRODUCT(('Costdrivere 2024'!$A$3:$A$95=A27)*'Costdrivere 2024'!$C$3:$G$95)</f>
        <v>14646175.806951392</v>
      </c>
      <c r="F27" s="8">
        <f>VLOOKUP(A27,'Costdrivere 2024'!$A$2:$AF$86,32,FALSE)</f>
        <v>31614160.781808555</v>
      </c>
      <c r="G27" s="8">
        <v>18880049</v>
      </c>
      <c r="H27" s="8">
        <v>20333233.469999999</v>
      </c>
      <c r="I27" s="8">
        <v>3120002</v>
      </c>
      <c r="J27" s="8">
        <v>11793665.469821058</v>
      </c>
      <c r="K27" s="8">
        <f t="shared" si="0"/>
        <v>35246900.939821057</v>
      </c>
      <c r="L27" s="8">
        <f t="shared" si="2"/>
        <v>54126949.939821057</v>
      </c>
      <c r="M27" s="8">
        <v>0</v>
      </c>
      <c r="N27" s="8">
        <v>0</v>
      </c>
      <c r="O27" s="8">
        <v>0</v>
      </c>
      <c r="P27" s="8">
        <f>G27-N27</f>
        <v>18880049</v>
      </c>
      <c r="Q27" s="8">
        <f>K27-M27-O27</f>
        <v>35246900.939821057</v>
      </c>
      <c r="R27" s="8">
        <f t="shared" si="1"/>
        <v>54126949.939821057</v>
      </c>
    </row>
    <row r="28" spans="1:18" x14ac:dyDescent="0.25">
      <c r="A28" s="5" t="s">
        <v>26</v>
      </c>
      <c r="B28" s="5" t="s">
        <v>180</v>
      </c>
      <c r="C28" s="6">
        <v>35.113809000000003</v>
      </c>
      <c r="D28" s="7">
        <f>VLOOKUP(A28,'Costdrivere 2024'!$A$2:$AF$86,28,FALSE)</f>
        <v>0.17305310700139787</v>
      </c>
      <c r="E28" s="8">
        <f>SUMPRODUCT(('Costdrivere 2024'!$A$3:$A$95=A28)*'Costdrivere 2024'!$C$3:$G$95)</f>
        <v>2261892.0234705312</v>
      </c>
      <c r="F28" s="8">
        <f>VLOOKUP(A28,'Costdrivere 2024'!$A$2:$AF$86,32,FALSE)</f>
        <v>4842462.2730100304</v>
      </c>
      <c r="G28" s="8">
        <v>9111766</v>
      </c>
      <c r="H28" s="8">
        <v>2378973.16</v>
      </c>
      <c r="I28" s="8">
        <v>2145000</v>
      </c>
      <c r="J28" s="8">
        <v>3952563.6288673803</v>
      </c>
      <c r="K28" s="8">
        <f t="shared" si="0"/>
        <v>8476536.7888673805</v>
      </c>
      <c r="L28" s="8">
        <f t="shared" si="2"/>
        <v>17588302.78886738</v>
      </c>
      <c r="M28" s="8">
        <v>0</v>
      </c>
      <c r="N28" s="8">
        <v>0</v>
      </c>
      <c r="O28" s="8">
        <v>0</v>
      </c>
      <c r="P28" s="8">
        <f>G28-N28</f>
        <v>9111766</v>
      </c>
      <c r="Q28" s="8">
        <f>K28-M28-O28</f>
        <v>8476536.7888673805</v>
      </c>
      <c r="R28" s="8">
        <f t="shared" si="1"/>
        <v>17588302.78886738</v>
      </c>
    </row>
    <row r="29" spans="1:18" x14ac:dyDescent="0.25">
      <c r="A29" s="5" t="s">
        <v>27</v>
      </c>
      <c r="B29" s="5" t="s">
        <v>136</v>
      </c>
      <c r="C29" s="6">
        <v>25.840077000000001</v>
      </c>
      <c r="D29" s="7">
        <f>VLOOKUP(A29,'Costdrivere 2024'!$A$2:$AF$86,28,FALSE)</f>
        <v>0.15523811010471891</v>
      </c>
      <c r="E29" s="8">
        <f>SUMPRODUCT(('Costdrivere 2024'!$A$3:$A$95=A29)*'Costdrivere 2024'!$C$3:$G$95)</f>
        <v>6820858.1640312877</v>
      </c>
      <c r="F29" s="8">
        <f>VLOOKUP(A29,'Costdrivere 2024'!$A$2:$AF$86,32,FALSE)</f>
        <v>6946065.1113107642</v>
      </c>
      <c r="G29" s="8">
        <v>11952033</v>
      </c>
      <c r="H29" s="8">
        <v>6459356.9800000004</v>
      </c>
      <c r="I29" s="8">
        <v>3528000</v>
      </c>
      <c r="J29" s="8">
        <v>6180781.4557806039</v>
      </c>
      <c r="K29" s="8">
        <f t="shared" si="0"/>
        <v>16168138.435780603</v>
      </c>
      <c r="L29" s="8">
        <f t="shared" si="2"/>
        <v>28120171.435780603</v>
      </c>
      <c r="M29" s="8">
        <v>1937053</v>
      </c>
      <c r="N29" s="8">
        <v>0</v>
      </c>
      <c r="O29" s="8">
        <v>0</v>
      </c>
      <c r="P29" s="8">
        <f>G29-N29</f>
        <v>11952033</v>
      </c>
      <c r="Q29" s="8">
        <f>K29-M29-O29</f>
        <v>14231085.435780603</v>
      </c>
      <c r="R29" s="8">
        <f t="shared" si="1"/>
        <v>26183118.435780603</v>
      </c>
    </row>
    <row r="30" spans="1:18" x14ac:dyDescent="0.25">
      <c r="A30" s="5" t="s">
        <v>28</v>
      </c>
      <c r="B30" s="5" t="s">
        <v>181</v>
      </c>
      <c r="C30" s="6">
        <v>32.242486</v>
      </c>
      <c r="D30" s="7">
        <f>VLOOKUP(A30,'Costdrivere 2024'!$A$2:$AF$86,28,FALSE)</f>
        <v>0.17752748622227238</v>
      </c>
      <c r="E30" s="8">
        <f>SUMPRODUCT(('Costdrivere 2024'!$A$3:$A$95=A30)*'Costdrivere 2024'!$C$3:$G$95)</f>
        <v>2207741.8903946029</v>
      </c>
      <c r="F30" s="8">
        <f>VLOOKUP(A30,'Costdrivere 2024'!$A$2:$AF$86,32,FALSE)</f>
        <v>4701599.6544193774</v>
      </c>
      <c r="G30" s="8">
        <v>9138395</v>
      </c>
      <c r="H30" s="8">
        <v>2637204.7799999998</v>
      </c>
      <c r="I30" s="8">
        <v>4205000</v>
      </c>
      <c r="J30" s="8">
        <v>4866922.0346950749</v>
      </c>
      <c r="K30" s="8">
        <f t="shared" si="0"/>
        <v>11709126.814695075</v>
      </c>
      <c r="L30" s="8">
        <f t="shared" si="2"/>
        <v>20847521.814695075</v>
      </c>
      <c r="M30" s="8">
        <v>0</v>
      </c>
      <c r="N30" s="8">
        <v>0</v>
      </c>
      <c r="O30" s="8">
        <v>0</v>
      </c>
      <c r="P30" s="8">
        <f>G30-N30</f>
        <v>9138395</v>
      </c>
      <c r="Q30" s="8">
        <f>K30-M30-O30</f>
        <v>11709126.814695075</v>
      </c>
      <c r="R30" s="8">
        <f t="shared" si="1"/>
        <v>20847521.814695075</v>
      </c>
    </row>
    <row r="31" spans="1:18" x14ac:dyDescent="0.25">
      <c r="A31" s="5" t="s">
        <v>29</v>
      </c>
      <c r="B31" s="5" t="s">
        <v>182</v>
      </c>
      <c r="C31" s="6">
        <v>32.933523000000001</v>
      </c>
      <c r="D31" s="7">
        <f>VLOOKUP(A31,'Costdrivere 2024'!$A$2:$AF$86,28,FALSE)</f>
        <v>0.14873075179186271</v>
      </c>
      <c r="E31" s="8">
        <f>SUMPRODUCT(('Costdrivere 2024'!$A$3:$A$95=A31)*'Costdrivere 2024'!$C$3:$G$95)</f>
        <v>3939168.9782295655</v>
      </c>
      <c r="F31" s="8">
        <f>VLOOKUP(A31,'Costdrivere 2024'!$A$2:$AF$86,32,FALSE)</f>
        <v>9026786.4916886184</v>
      </c>
      <c r="G31" s="8">
        <v>14732546</v>
      </c>
      <c r="H31" s="8">
        <v>5259512.57</v>
      </c>
      <c r="I31" s="8">
        <v>3103000</v>
      </c>
      <c r="J31" s="8">
        <v>6794766.981874709</v>
      </c>
      <c r="K31" s="8">
        <f t="shared" si="0"/>
        <v>15157279.551874708</v>
      </c>
      <c r="L31" s="8">
        <f t="shared" si="2"/>
        <v>29889825.551874708</v>
      </c>
      <c r="M31" s="8">
        <v>0</v>
      </c>
      <c r="N31" s="8">
        <v>0</v>
      </c>
      <c r="O31" s="8">
        <v>0</v>
      </c>
      <c r="P31" s="8">
        <f>G31-N31</f>
        <v>14732546</v>
      </c>
      <c r="Q31" s="8">
        <f>K31-M31-O31</f>
        <v>15157279.551874708</v>
      </c>
      <c r="R31" s="8">
        <f t="shared" si="1"/>
        <v>29889825.551874708</v>
      </c>
    </row>
    <row r="32" spans="1:18" x14ac:dyDescent="0.25">
      <c r="A32" s="5" t="s">
        <v>30</v>
      </c>
      <c r="B32" s="5" t="s">
        <v>183</v>
      </c>
      <c r="C32" s="6">
        <v>34.729866999999999</v>
      </c>
      <c r="D32" s="7">
        <f>VLOOKUP(A32,'Costdrivere 2024'!$A$2:$AF$86,28,FALSE)</f>
        <v>0.4077754672485906</v>
      </c>
      <c r="E32" s="8">
        <f>SUMPRODUCT(('Costdrivere 2024'!$A$3:$A$95=A32)*'Costdrivere 2024'!$C$3:$G$95)</f>
        <v>140856101.74360242</v>
      </c>
      <c r="F32" s="8">
        <f>VLOOKUP(A32,'Costdrivere 2024'!$A$2:$AF$86,32,FALSE)</f>
        <v>144897742.46717864</v>
      </c>
      <c r="G32" s="8">
        <v>302892509</v>
      </c>
      <c r="H32" s="8">
        <v>71070709.140000001</v>
      </c>
      <c r="I32" s="8">
        <v>31048675</v>
      </c>
      <c r="J32" s="8">
        <v>101374411.60142897</v>
      </c>
      <c r="K32" s="8">
        <f t="shared" si="0"/>
        <v>203493795.74142897</v>
      </c>
      <c r="L32" s="8">
        <f t="shared" si="2"/>
        <v>506386304.74142897</v>
      </c>
      <c r="M32" s="8">
        <v>15105801</v>
      </c>
      <c r="N32" s="8">
        <v>0</v>
      </c>
      <c r="O32" s="8">
        <v>0</v>
      </c>
      <c r="P32" s="8">
        <f>G32-N32</f>
        <v>302892509</v>
      </c>
      <c r="Q32" s="8">
        <f>K32-M32-O32</f>
        <v>188387994.74142897</v>
      </c>
      <c r="R32" s="8">
        <f t="shared" si="1"/>
        <v>491280503.74142897</v>
      </c>
    </row>
    <row r="33" spans="1:18" x14ac:dyDescent="0.25">
      <c r="A33" s="5" t="s">
        <v>31</v>
      </c>
      <c r="B33" s="5" t="s">
        <v>184</v>
      </c>
      <c r="C33" s="6">
        <v>34.951211000000001</v>
      </c>
      <c r="D33" s="7">
        <f>VLOOKUP(A33,'Costdrivere 2024'!$A$2:$AF$86,28,FALSE)</f>
        <v>0.20600765746722058</v>
      </c>
      <c r="E33" s="8">
        <f>SUMPRODUCT(('Costdrivere 2024'!$A$3:$A$95=A33)*'Costdrivere 2024'!$C$3:$G$95)</f>
        <v>3716465.3095723749</v>
      </c>
      <c r="F33" s="8">
        <f>VLOOKUP(A33,'Costdrivere 2024'!$A$2:$AF$86,32,FALSE)</f>
        <v>5471174.7079374697</v>
      </c>
      <c r="G33" s="8">
        <v>11325037</v>
      </c>
      <c r="H33" s="8">
        <v>2390865.75</v>
      </c>
      <c r="I33" s="8">
        <v>4005000</v>
      </c>
      <c r="J33" s="8">
        <v>5921436.6326712938</v>
      </c>
      <c r="K33" s="8">
        <f t="shared" si="0"/>
        <v>12317302.382671293</v>
      </c>
      <c r="L33" s="8">
        <f t="shared" si="2"/>
        <v>23642339.382671293</v>
      </c>
      <c r="M33" s="8">
        <v>0</v>
      </c>
      <c r="N33" s="8">
        <v>0</v>
      </c>
      <c r="O33" s="8">
        <v>0</v>
      </c>
      <c r="P33" s="8">
        <f>G33-N33</f>
        <v>11325037</v>
      </c>
      <c r="Q33" s="8">
        <f>K33-M33-O33</f>
        <v>12317302.382671293</v>
      </c>
      <c r="R33" s="8">
        <f t="shared" si="1"/>
        <v>23642339.382671293</v>
      </c>
    </row>
    <row r="34" spans="1:18" x14ac:dyDescent="0.25">
      <c r="A34" s="5" t="s">
        <v>33</v>
      </c>
      <c r="B34" s="5" t="s">
        <v>137</v>
      </c>
      <c r="C34" s="6">
        <v>35.803587999999998</v>
      </c>
      <c r="D34" s="7">
        <f>VLOOKUP(A34,'Costdrivere 2024'!$A$2:$AF$86,28,FALSE)</f>
        <v>7.8226207927428154E-2</v>
      </c>
      <c r="E34" s="8">
        <f>SUMPRODUCT(('Costdrivere 2024'!$A$3:$A$95=A34)*'Costdrivere 2024'!$C$3:$G$95)</f>
        <v>15660263.032730054</v>
      </c>
      <c r="F34" s="8">
        <f>VLOOKUP(A34,'Costdrivere 2024'!$A$2:$AF$86,32,FALSE)</f>
        <v>22071383.720698822</v>
      </c>
      <c r="G34" s="8">
        <v>19604360</v>
      </c>
      <c r="H34" s="8">
        <v>15558961.84</v>
      </c>
      <c r="I34" s="8">
        <v>2000</v>
      </c>
      <c r="J34" s="8">
        <v>9848407.3412829079</v>
      </c>
      <c r="K34" s="8">
        <f t="shared" ref="K34:K65" si="3">SUM(H34:J34)</f>
        <v>25409369.181282908</v>
      </c>
      <c r="L34" s="8">
        <f t="shared" si="2"/>
        <v>45013729.181282908</v>
      </c>
      <c r="M34" s="8">
        <v>0</v>
      </c>
      <c r="N34" s="8">
        <v>0</v>
      </c>
      <c r="O34" s="8">
        <v>0</v>
      </c>
      <c r="P34" s="8">
        <f>G34-N34</f>
        <v>19604360</v>
      </c>
      <c r="Q34" s="8">
        <f>K34-M34-O34</f>
        <v>25409369.181282908</v>
      </c>
      <c r="R34" s="8">
        <f t="shared" si="1"/>
        <v>45013729.181282908</v>
      </c>
    </row>
    <row r="35" spans="1:18" x14ac:dyDescent="0.25">
      <c r="A35" s="5" t="s">
        <v>34</v>
      </c>
      <c r="B35" s="5" t="s">
        <v>185</v>
      </c>
      <c r="C35" s="6">
        <v>34.693311000000001</v>
      </c>
      <c r="D35" s="7">
        <f>VLOOKUP(A35,'Costdrivere 2024'!$A$2:$AF$86,28,FALSE)</f>
        <v>0.13551655338638088</v>
      </c>
      <c r="E35" s="8">
        <f>SUMPRODUCT(('Costdrivere 2024'!$A$3:$A$95=A35)*'Costdrivere 2024'!$C$3:$G$95)</f>
        <v>5478538.5053059757</v>
      </c>
      <c r="F35" s="8">
        <f>VLOOKUP(A35,'Costdrivere 2024'!$A$2:$AF$86,32,FALSE)</f>
        <v>9073991.5321983583</v>
      </c>
      <c r="G35" s="8">
        <v>8223579</v>
      </c>
      <c r="H35" s="8">
        <v>6135689.8499999996</v>
      </c>
      <c r="I35" s="8">
        <v>898305</v>
      </c>
      <c r="J35" s="8">
        <v>4997234.0943251075</v>
      </c>
      <c r="K35" s="8">
        <f t="shared" si="3"/>
        <v>12031228.944325108</v>
      </c>
      <c r="L35" s="8">
        <f t="shared" si="2"/>
        <v>20254807.944325108</v>
      </c>
      <c r="M35" s="8">
        <v>0</v>
      </c>
      <c r="N35" s="8">
        <v>0</v>
      </c>
      <c r="O35" s="8">
        <v>0</v>
      </c>
      <c r="P35" s="8">
        <f>G35-N35</f>
        <v>8223579</v>
      </c>
      <c r="Q35" s="8">
        <f>K35-M35-O35</f>
        <v>12031228.944325108</v>
      </c>
      <c r="R35" s="8">
        <f t="shared" si="1"/>
        <v>20254807.944325108</v>
      </c>
    </row>
    <row r="36" spans="1:18" x14ac:dyDescent="0.25">
      <c r="A36" s="5" t="s">
        <v>35</v>
      </c>
      <c r="B36" s="5" t="s">
        <v>138</v>
      </c>
      <c r="C36" s="6">
        <v>32.698833999999998</v>
      </c>
      <c r="D36" s="7">
        <f>VLOOKUP(A36,'Costdrivere 2024'!$A$2:$AF$86,28,FALSE)</f>
        <v>0.10035430938914269</v>
      </c>
      <c r="E36" s="8">
        <f>SUMPRODUCT(('Costdrivere 2024'!$A$3:$A$95=A36)*'Costdrivere 2024'!$C$3:$G$95)</f>
        <v>2301600.7798978873</v>
      </c>
      <c r="F36" s="8">
        <f>VLOOKUP(A36,'Costdrivere 2024'!$A$2:$AF$86,32,FALSE)</f>
        <v>5727305.2664484857</v>
      </c>
      <c r="G36" s="8">
        <v>4496558</v>
      </c>
      <c r="H36" s="8">
        <v>3377777.89</v>
      </c>
      <c r="I36" s="8">
        <v>1530000</v>
      </c>
      <c r="J36" s="8">
        <v>4042737.1193206562</v>
      </c>
      <c r="K36" s="8">
        <f t="shared" si="3"/>
        <v>8950515.0093206577</v>
      </c>
      <c r="L36" s="8">
        <f t="shared" ref="L36:L67" si="4">G36+K36</f>
        <v>13447073.009320658</v>
      </c>
      <c r="M36" s="8">
        <v>0</v>
      </c>
      <c r="N36" s="8">
        <v>0</v>
      </c>
      <c r="O36" s="8">
        <v>0</v>
      </c>
      <c r="P36" s="8">
        <f>G36-N36</f>
        <v>4496558</v>
      </c>
      <c r="Q36" s="8">
        <f>K36-M36-O36</f>
        <v>8950515.0093206577</v>
      </c>
      <c r="R36" s="8">
        <f t="shared" si="1"/>
        <v>13447073.009320658</v>
      </c>
    </row>
    <row r="37" spans="1:18" x14ac:dyDescent="0.25">
      <c r="A37" s="5" t="s">
        <v>37</v>
      </c>
      <c r="B37" s="5" t="s">
        <v>36</v>
      </c>
      <c r="C37" s="6">
        <v>29.754754999999999</v>
      </c>
      <c r="D37" s="7">
        <f>VLOOKUP(A37,'Costdrivere 2024'!$A$2:$AF$86,28,FALSE)</f>
        <v>3.3512264052983957E-2</v>
      </c>
      <c r="E37" s="8">
        <f>SUMPRODUCT(('Costdrivere 2024'!$A$3:$A$95=A37)*'Costdrivere 2024'!$C$3:$G$95)</f>
        <v>4338724.9388170512</v>
      </c>
      <c r="F37" s="8">
        <f>VLOOKUP(A37,'Costdrivere 2024'!$A$2:$AF$86,32,FALSE)</f>
        <v>8145997.9463805957</v>
      </c>
      <c r="G37" s="8">
        <v>4302570</v>
      </c>
      <c r="H37" s="8">
        <v>4338144.21</v>
      </c>
      <c r="I37" s="8">
        <v>201</v>
      </c>
      <c r="J37" s="8">
        <v>2377931.3713721544</v>
      </c>
      <c r="K37" s="8">
        <f t="shared" si="3"/>
        <v>6716276.5813721549</v>
      </c>
      <c r="L37" s="8">
        <f t="shared" si="4"/>
        <v>11018846.581372155</v>
      </c>
      <c r="M37" s="8">
        <v>0</v>
      </c>
      <c r="N37" s="8">
        <v>0</v>
      </c>
      <c r="O37" s="8">
        <v>0</v>
      </c>
      <c r="P37" s="8">
        <f>G37-N37</f>
        <v>4302570</v>
      </c>
      <c r="Q37" s="8">
        <f>K37-M37-O37</f>
        <v>6716276.5813721549</v>
      </c>
      <c r="R37" s="8">
        <f t="shared" si="1"/>
        <v>11018846.581372155</v>
      </c>
    </row>
    <row r="38" spans="1:18" x14ac:dyDescent="0.25">
      <c r="A38" s="5" t="s">
        <v>38</v>
      </c>
      <c r="B38" s="5" t="s">
        <v>186</v>
      </c>
      <c r="C38" s="6">
        <v>30.912777999999999</v>
      </c>
      <c r="D38" s="7">
        <f>VLOOKUP(A38,'Costdrivere 2024'!$A$2:$AF$86,28,FALSE)</f>
        <v>0.12847302996894883</v>
      </c>
      <c r="E38" s="8">
        <f>SUMPRODUCT(('Costdrivere 2024'!$A$3:$A$95=A38)*'Costdrivere 2024'!$C$3:$G$95)</f>
        <v>3201225.3489088737</v>
      </c>
      <c r="F38" s="8">
        <f>VLOOKUP(A38,'Costdrivere 2024'!$A$2:$AF$86,32,FALSE)</f>
        <v>5021657.0837070458</v>
      </c>
      <c r="G38" s="8">
        <v>7153509</v>
      </c>
      <c r="H38" s="8">
        <v>1721081.59</v>
      </c>
      <c r="I38" s="8">
        <v>926000</v>
      </c>
      <c r="J38" s="8">
        <v>4322857.5613935217</v>
      </c>
      <c r="K38" s="8">
        <f t="shared" si="3"/>
        <v>6969939.1513935216</v>
      </c>
      <c r="L38" s="8">
        <f t="shared" si="4"/>
        <v>14123448.151393522</v>
      </c>
      <c r="M38" s="8">
        <v>187263</v>
      </c>
      <c r="N38" s="8">
        <v>0</v>
      </c>
      <c r="O38" s="8">
        <v>0</v>
      </c>
      <c r="P38" s="8">
        <f>G38-N38</f>
        <v>7153509</v>
      </c>
      <c r="Q38" s="8">
        <f>K38-M38-O38</f>
        <v>6782676.1513935216</v>
      </c>
      <c r="R38" s="8">
        <f t="shared" si="1"/>
        <v>13936185.151393522</v>
      </c>
    </row>
    <row r="39" spans="1:18" x14ac:dyDescent="0.25">
      <c r="A39" s="5" t="s">
        <v>39</v>
      </c>
      <c r="B39" s="5" t="s">
        <v>139</v>
      </c>
      <c r="C39" s="6">
        <v>20.087425</v>
      </c>
      <c r="D39" s="7">
        <f>VLOOKUP(A39,'Costdrivere 2024'!$A$2:$AF$86,28,FALSE)</f>
        <v>3.7730723373428514E-4</v>
      </c>
      <c r="E39" s="8">
        <f>SUMPRODUCT(('Costdrivere 2024'!$A$3:$A$95=A39)*'Costdrivere 2024'!$C$3:$G$95)</f>
        <v>6314165.1142264977</v>
      </c>
      <c r="F39" s="8">
        <f>VLOOKUP(A39,'Costdrivere 2024'!$A$2:$AF$86,32,FALSE)</f>
        <v>2741698.6869686306</v>
      </c>
      <c r="G39" s="8">
        <v>13246513</v>
      </c>
      <c r="H39" s="8">
        <v>1674612.46</v>
      </c>
      <c r="I39" s="8">
        <v>1271000</v>
      </c>
      <c r="J39" s="8">
        <v>4846465.6747808484</v>
      </c>
      <c r="K39" s="8">
        <f t="shared" si="3"/>
        <v>7792078.1347808484</v>
      </c>
      <c r="L39" s="8">
        <f t="shared" si="4"/>
        <v>21038591.134780847</v>
      </c>
      <c r="M39" s="8">
        <v>1223427</v>
      </c>
      <c r="N39" s="8">
        <v>4563469</v>
      </c>
      <c r="O39" s="8">
        <v>0</v>
      </c>
      <c r="P39" s="8">
        <f>G39-N39</f>
        <v>8683044</v>
      </c>
      <c r="Q39" s="8">
        <f>K39-M39-O39</f>
        <v>6568651.1347808484</v>
      </c>
      <c r="R39" s="8">
        <f t="shared" si="1"/>
        <v>15251695.134780848</v>
      </c>
    </row>
    <row r="40" spans="1:18" x14ac:dyDescent="0.25">
      <c r="A40" s="5" t="s">
        <v>40</v>
      </c>
      <c r="B40" s="5" t="s">
        <v>187</v>
      </c>
      <c r="C40" s="6">
        <v>31.170413</v>
      </c>
      <c r="D40" s="7">
        <f>VLOOKUP(A40,'Costdrivere 2024'!$A$2:$AF$86,28,FALSE)</f>
        <v>2.7003362275167555E-2</v>
      </c>
      <c r="E40" s="8">
        <f>SUMPRODUCT(('Costdrivere 2024'!$A$3:$A$95=A40)*'Costdrivere 2024'!$C$3:$G$95)</f>
        <v>8552446.0883353781</v>
      </c>
      <c r="F40" s="8">
        <f>VLOOKUP(A40,'Costdrivere 2024'!$A$2:$AF$86,32,FALSE)</f>
        <v>14790226.659009419</v>
      </c>
      <c r="G40" s="8">
        <v>18157296</v>
      </c>
      <c r="H40" s="8">
        <v>10182748.08</v>
      </c>
      <c r="I40" s="8">
        <v>3155000</v>
      </c>
      <c r="J40" s="8">
        <v>7427555.2044145241</v>
      </c>
      <c r="K40" s="8">
        <f t="shared" si="3"/>
        <v>20765303.284414522</v>
      </c>
      <c r="L40" s="8">
        <f t="shared" si="4"/>
        <v>38922599.284414522</v>
      </c>
      <c r="M40" s="8">
        <v>0</v>
      </c>
      <c r="N40" s="8">
        <v>696876</v>
      </c>
      <c r="O40" s="8">
        <v>45506</v>
      </c>
      <c r="P40" s="8">
        <f>G40-N40</f>
        <v>17460420</v>
      </c>
      <c r="Q40" s="8">
        <f>K40-M40-O40</f>
        <v>20719797.284414522</v>
      </c>
      <c r="R40" s="8">
        <f t="shared" si="1"/>
        <v>38180217.284414522</v>
      </c>
    </row>
    <row r="41" spans="1:18" x14ac:dyDescent="0.25">
      <c r="A41" s="5" t="s">
        <v>41</v>
      </c>
      <c r="B41" s="5" t="s">
        <v>188</v>
      </c>
      <c r="C41" s="6">
        <v>39.277895999999998</v>
      </c>
      <c r="D41" s="7">
        <f>VLOOKUP(A41,'Costdrivere 2024'!$A$2:$AF$86,28,FALSE)</f>
        <v>3.37595438970845E-2</v>
      </c>
      <c r="E41" s="8">
        <f>SUMPRODUCT(('Costdrivere 2024'!$A$3:$A$95=A41)*'Costdrivere 2024'!$C$3:$G$95)</f>
        <v>4852418.965348159</v>
      </c>
      <c r="F41" s="8">
        <f>VLOOKUP(A41,'Costdrivere 2024'!$A$2:$AF$86,32,FALSE)</f>
        <v>9454479.1015757769</v>
      </c>
      <c r="G41" s="8">
        <v>8569575</v>
      </c>
      <c r="H41" s="8">
        <v>3923357.28</v>
      </c>
      <c r="I41" s="8">
        <v>952288</v>
      </c>
      <c r="J41" s="8">
        <v>3038298.5597651233</v>
      </c>
      <c r="K41" s="8">
        <f t="shared" si="3"/>
        <v>7913943.8397651222</v>
      </c>
      <c r="L41" s="8">
        <f t="shared" si="4"/>
        <v>16483518.839765122</v>
      </c>
      <c r="M41" s="8">
        <v>0</v>
      </c>
      <c r="N41" s="8">
        <v>0</v>
      </c>
      <c r="O41" s="8">
        <v>0</v>
      </c>
      <c r="P41" s="8">
        <f>G41-N41</f>
        <v>8569575</v>
      </c>
      <c r="Q41" s="8">
        <f>K41-M41-O41</f>
        <v>7913943.8397651222</v>
      </c>
      <c r="R41" s="8">
        <f t="shared" si="1"/>
        <v>16483518.839765122</v>
      </c>
    </row>
    <row r="42" spans="1:18" x14ac:dyDescent="0.25">
      <c r="A42" s="5" t="s">
        <v>42</v>
      </c>
      <c r="B42" s="5" t="s">
        <v>189</v>
      </c>
      <c r="C42" s="6">
        <v>28.261897000000001</v>
      </c>
      <c r="D42" s="7">
        <f>VLOOKUP(A42,'Costdrivere 2024'!$A$2:$AF$86,28,FALSE)</f>
        <v>7.8419018648645394E-2</v>
      </c>
      <c r="E42" s="8">
        <f>SUMPRODUCT(('Costdrivere 2024'!$A$3:$A$95=A42)*'Costdrivere 2024'!$C$3:$G$95)</f>
        <v>6429747.2163626757</v>
      </c>
      <c r="F42" s="8">
        <f>VLOOKUP(A42,'Costdrivere 2024'!$A$2:$AF$86,32,FALSE)</f>
        <v>13055050.240732405</v>
      </c>
      <c r="G42" s="8">
        <v>10897408</v>
      </c>
      <c r="H42" s="8">
        <v>5558141.6699999999</v>
      </c>
      <c r="I42" s="8">
        <v>4053521</v>
      </c>
      <c r="J42" s="8">
        <v>7797167.627726269</v>
      </c>
      <c r="K42" s="8">
        <f t="shared" si="3"/>
        <v>17408830.29772627</v>
      </c>
      <c r="L42" s="8">
        <f t="shared" si="4"/>
        <v>28306238.29772627</v>
      </c>
      <c r="M42" s="8">
        <v>0</v>
      </c>
      <c r="N42" s="8">
        <v>0</v>
      </c>
      <c r="O42" s="8">
        <v>0</v>
      </c>
      <c r="P42" s="8">
        <f>G42-N42</f>
        <v>10897408</v>
      </c>
      <c r="Q42" s="8">
        <f>K42-M42-O42</f>
        <v>17408830.29772627</v>
      </c>
      <c r="R42" s="8">
        <f t="shared" si="1"/>
        <v>28306238.29772627</v>
      </c>
    </row>
    <row r="43" spans="1:18" x14ac:dyDescent="0.25">
      <c r="A43" s="5" t="s">
        <v>43</v>
      </c>
      <c r="B43" s="5" t="s">
        <v>190</v>
      </c>
      <c r="C43" s="6">
        <v>35.368411999999999</v>
      </c>
      <c r="D43" s="7">
        <f>VLOOKUP(A43,'Costdrivere 2024'!$A$2:$AF$86,28,FALSE)</f>
        <v>1.4619385838362002E-2</v>
      </c>
      <c r="E43" s="8">
        <f>SUMPRODUCT(('Costdrivere 2024'!$A$3:$A$95=A43)*'Costdrivere 2024'!$C$3:$G$95)</f>
        <v>7929405.9160788972</v>
      </c>
      <c r="F43" s="8">
        <f>VLOOKUP(A43,'Costdrivere 2024'!$A$2:$AF$86,32,FALSE)</f>
        <v>17906282.388193153</v>
      </c>
      <c r="G43" s="8">
        <v>8060866</v>
      </c>
      <c r="H43" s="8">
        <v>11823373.539999999</v>
      </c>
      <c r="I43" s="8">
        <v>621927</v>
      </c>
      <c r="J43" s="8">
        <v>3339122.0905434312</v>
      </c>
      <c r="K43" s="8">
        <f t="shared" si="3"/>
        <v>15784422.630543429</v>
      </c>
      <c r="L43" s="8">
        <f t="shared" si="4"/>
        <v>23845288.630543429</v>
      </c>
      <c r="M43" s="8">
        <v>0</v>
      </c>
      <c r="N43" s="8">
        <v>0</v>
      </c>
      <c r="O43" s="8">
        <v>0</v>
      </c>
      <c r="P43" s="8">
        <f>G43-N43</f>
        <v>8060866</v>
      </c>
      <c r="Q43" s="8">
        <f>K43-M43-O43</f>
        <v>15784422.630543429</v>
      </c>
      <c r="R43" s="8">
        <f t="shared" si="1"/>
        <v>23845288.630543429</v>
      </c>
    </row>
    <row r="44" spans="1:18" x14ac:dyDescent="0.25">
      <c r="A44" s="5" t="s">
        <v>44</v>
      </c>
      <c r="B44" s="5" t="s">
        <v>191</v>
      </c>
      <c r="C44" s="6">
        <v>37.318654000000002</v>
      </c>
      <c r="D44" s="7">
        <f>VLOOKUP(A44,'Costdrivere 2024'!$A$2:$AF$86,28,FALSE)</f>
        <v>2.2122688902034799E-2</v>
      </c>
      <c r="E44" s="8">
        <f>SUMPRODUCT(('Costdrivere 2024'!$A$3:$A$95=A44)*'Costdrivere 2024'!$C$3:$G$95)</f>
        <v>8965985.2702113669</v>
      </c>
      <c r="F44" s="8">
        <f>VLOOKUP(A44,'Costdrivere 2024'!$A$2:$AF$86,32,FALSE)</f>
        <v>22877031.488529667</v>
      </c>
      <c r="G44" s="8">
        <v>12505069</v>
      </c>
      <c r="H44" s="8">
        <v>13888522.65</v>
      </c>
      <c r="I44" s="8">
        <v>1954903</v>
      </c>
      <c r="J44" s="8">
        <v>10521440.571333257</v>
      </c>
      <c r="K44" s="8">
        <f t="shared" si="3"/>
        <v>26364866.221333258</v>
      </c>
      <c r="L44" s="8">
        <f t="shared" si="4"/>
        <v>38869935.221333258</v>
      </c>
      <c r="M44" s="8">
        <v>0</v>
      </c>
      <c r="N44" s="8">
        <v>0</v>
      </c>
      <c r="O44" s="8">
        <v>0</v>
      </c>
      <c r="P44" s="8">
        <f>G44-N44</f>
        <v>12505069</v>
      </c>
      <c r="Q44" s="8">
        <f>K44-M44-O44</f>
        <v>26364866.221333258</v>
      </c>
      <c r="R44" s="8">
        <f t="shared" si="1"/>
        <v>38869935.221333258</v>
      </c>
    </row>
    <row r="45" spans="1:18" x14ac:dyDescent="0.25">
      <c r="A45" s="5" t="s">
        <v>45</v>
      </c>
      <c r="B45" s="5" t="s">
        <v>192</v>
      </c>
      <c r="C45" s="6">
        <v>34.7866</v>
      </c>
      <c r="D45" s="7">
        <f>VLOOKUP(A45,'Costdrivere 2024'!$A$2:$AF$86,28,FALSE)</f>
        <v>0.11988717927980751</v>
      </c>
      <c r="E45" s="8">
        <f>SUMPRODUCT(('Costdrivere 2024'!$A$3:$A$95=A45)*'Costdrivere 2024'!$C$3:$G$95)</f>
        <v>10887095.873136722</v>
      </c>
      <c r="F45" s="8">
        <f>VLOOKUP(A45,'Costdrivere 2024'!$A$2:$AF$86,32,FALSE)</f>
        <v>14469384.49586465</v>
      </c>
      <c r="G45" s="8">
        <v>17135391</v>
      </c>
      <c r="H45" s="8">
        <v>5117459.9400000004</v>
      </c>
      <c r="I45" s="8">
        <v>7544497</v>
      </c>
      <c r="J45" s="8">
        <v>13140923.792681836</v>
      </c>
      <c r="K45" s="8">
        <f t="shared" si="3"/>
        <v>25802880.732681837</v>
      </c>
      <c r="L45" s="8">
        <f t="shared" si="4"/>
        <v>42938271.732681841</v>
      </c>
      <c r="M45" s="8">
        <v>0</v>
      </c>
      <c r="N45" s="8">
        <v>0</v>
      </c>
      <c r="O45" s="8">
        <v>0</v>
      </c>
      <c r="P45" s="8">
        <f>G45-N45</f>
        <v>17135391</v>
      </c>
      <c r="Q45" s="8">
        <f>K45-M45-O45</f>
        <v>25802880.732681837</v>
      </c>
      <c r="R45" s="8">
        <f t="shared" si="1"/>
        <v>42938271.732681841</v>
      </c>
    </row>
    <row r="46" spans="1:18" x14ac:dyDescent="0.25">
      <c r="A46" s="5" t="s">
        <v>46</v>
      </c>
      <c r="B46" s="5" t="s">
        <v>193</v>
      </c>
      <c r="C46" s="6">
        <v>34.870009000000003</v>
      </c>
      <c r="D46" s="7">
        <f>VLOOKUP(A46,'Costdrivere 2024'!$A$2:$AF$86,28,FALSE)</f>
        <v>2.9851149471864277E-2</v>
      </c>
      <c r="E46" s="8">
        <f>SUMPRODUCT(('Costdrivere 2024'!$A$3:$A$95=A46)*'Costdrivere 2024'!$C$3:$G$95)</f>
        <v>5447880.1100631142</v>
      </c>
      <c r="F46" s="8">
        <f>VLOOKUP(A46,'Costdrivere 2024'!$A$2:$AF$86,32,FALSE)</f>
        <v>10162200.233381988</v>
      </c>
      <c r="G46" s="8">
        <v>5922551</v>
      </c>
      <c r="H46" s="8">
        <v>5055070.46</v>
      </c>
      <c r="I46" s="8">
        <v>737532</v>
      </c>
      <c r="J46" s="8">
        <v>3036732.9043725193</v>
      </c>
      <c r="K46" s="8">
        <f t="shared" si="3"/>
        <v>8829335.3643725198</v>
      </c>
      <c r="L46" s="8">
        <f t="shared" si="4"/>
        <v>14751886.36437252</v>
      </c>
      <c r="M46" s="8">
        <v>0</v>
      </c>
      <c r="N46" s="8">
        <v>0</v>
      </c>
      <c r="O46" s="8">
        <v>0</v>
      </c>
      <c r="P46" s="8">
        <f>G46-N46</f>
        <v>5922551</v>
      </c>
      <c r="Q46" s="8">
        <f>K46-M46-O46</f>
        <v>8829335.3643725198</v>
      </c>
      <c r="R46" s="8">
        <f t="shared" si="1"/>
        <v>14751886.36437252</v>
      </c>
    </row>
    <row r="47" spans="1:18" x14ac:dyDescent="0.25">
      <c r="A47" s="5" t="s">
        <v>47</v>
      </c>
      <c r="B47" s="5" t="s">
        <v>140</v>
      </c>
      <c r="C47" s="6">
        <v>35.685713999999997</v>
      </c>
      <c r="D47" s="7">
        <f>VLOOKUP(A47,'Costdrivere 2024'!$A$2:$AF$86,28,FALSE)</f>
        <v>1.8881309067833099E-2</v>
      </c>
      <c r="E47" s="8">
        <f>SUMPRODUCT(('Costdrivere 2024'!$A$3:$A$95=A47)*'Costdrivere 2024'!$C$3:$G$95)</f>
        <v>6355846.0174210211</v>
      </c>
      <c r="F47" s="8">
        <f>VLOOKUP(A47,'Costdrivere 2024'!$A$2:$AF$86,32,FALSE)</f>
        <v>13345030.219372474</v>
      </c>
      <c r="G47" s="8">
        <v>9929750</v>
      </c>
      <c r="H47" s="8">
        <v>8491395.7699999996</v>
      </c>
      <c r="I47" s="8">
        <v>362876</v>
      </c>
      <c r="J47" s="8">
        <v>3916196.2899699784</v>
      </c>
      <c r="K47" s="8">
        <f t="shared" si="3"/>
        <v>12770468.059969978</v>
      </c>
      <c r="L47" s="8">
        <f t="shared" si="4"/>
        <v>22700218.059969977</v>
      </c>
      <c r="M47" s="8">
        <v>0</v>
      </c>
      <c r="N47" s="8">
        <v>0</v>
      </c>
      <c r="O47" s="8">
        <v>0</v>
      </c>
      <c r="P47" s="8">
        <f>G47-N47</f>
        <v>9929750</v>
      </c>
      <c r="Q47" s="8">
        <f>K47-M47-O47</f>
        <v>12770468.059969978</v>
      </c>
      <c r="R47" s="8">
        <f t="shared" si="1"/>
        <v>22700218.059969977</v>
      </c>
    </row>
    <row r="48" spans="1:18" x14ac:dyDescent="0.25">
      <c r="A48" s="5" t="s">
        <v>48</v>
      </c>
      <c r="B48" s="5" t="s">
        <v>194</v>
      </c>
      <c r="C48" s="6">
        <v>40.520668000000001</v>
      </c>
      <c r="D48" s="7">
        <f>VLOOKUP(A48,'Costdrivere 2024'!$A$2:$AF$86,28,FALSE)</f>
        <v>4.6278277791291657E-2</v>
      </c>
      <c r="E48" s="8">
        <f>SUMPRODUCT(('Costdrivere 2024'!$A$3:$A$95=A48)*'Costdrivere 2024'!$C$3:$G$95)</f>
        <v>5128637.9392094463</v>
      </c>
      <c r="F48" s="8">
        <f>VLOOKUP(A48,'Costdrivere 2024'!$A$2:$AF$86,32,FALSE)</f>
        <v>6840494.82393861</v>
      </c>
      <c r="G48" s="8">
        <v>7128463</v>
      </c>
      <c r="H48" s="8">
        <v>4043166.32</v>
      </c>
      <c r="I48" s="8">
        <v>526173</v>
      </c>
      <c r="J48" s="8">
        <v>3378315.0314027718</v>
      </c>
      <c r="K48" s="8">
        <f t="shared" si="3"/>
        <v>7947654.3514027726</v>
      </c>
      <c r="L48" s="8">
        <f t="shared" si="4"/>
        <v>15076117.351402773</v>
      </c>
      <c r="M48" s="8">
        <v>0</v>
      </c>
      <c r="N48" s="8">
        <v>0</v>
      </c>
      <c r="O48" s="8">
        <v>0</v>
      </c>
      <c r="P48" s="8">
        <f>G48-N48</f>
        <v>7128463</v>
      </c>
      <c r="Q48" s="8">
        <f>K48-M48-O48</f>
        <v>7947654.3514027726</v>
      </c>
      <c r="R48" s="8">
        <f t="shared" si="1"/>
        <v>15076117.351402773</v>
      </c>
    </row>
    <row r="49" spans="1:18" x14ac:dyDescent="0.25">
      <c r="A49" s="5" t="s">
        <v>49</v>
      </c>
      <c r="B49" s="5" t="s">
        <v>195</v>
      </c>
      <c r="C49" s="6">
        <v>38.710107000000001</v>
      </c>
      <c r="D49" s="7">
        <f>VLOOKUP(A49,'Costdrivere 2024'!$A$2:$AF$86,28,FALSE)</f>
        <v>4.6512479522801402E-2</v>
      </c>
      <c r="E49" s="8">
        <f>SUMPRODUCT(('Costdrivere 2024'!$A$3:$A$95=A49)*'Costdrivere 2024'!$C$3:$G$95)</f>
        <v>11501271.230409695</v>
      </c>
      <c r="F49" s="8">
        <f>VLOOKUP(A49,'Costdrivere 2024'!$A$2:$AF$86,32,FALSE)</f>
        <v>28614627.037878156</v>
      </c>
      <c r="G49" s="8">
        <v>16153277</v>
      </c>
      <c r="H49" s="8">
        <v>9912141.4600000009</v>
      </c>
      <c r="I49" s="8">
        <v>848000</v>
      </c>
      <c r="J49" s="8">
        <v>9798357.3407507725</v>
      </c>
      <c r="K49" s="8">
        <f t="shared" si="3"/>
        <v>20558498.800750773</v>
      </c>
      <c r="L49" s="8">
        <f t="shared" si="4"/>
        <v>36711775.800750777</v>
      </c>
      <c r="M49" s="8">
        <v>0</v>
      </c>
      <c r="N49" s="8">
        <v>0</v>
      </c>
      <c r="O49" s="8">
        <v>0</v>
      </c>
      <c r="P49" s="8">
        <f>G49-N49</f>
        <v>16153277</v>
      </c>
      <c r="Q49" s="8">
        <f>K49-M49-O49</f>
        <v>20558498.800750773</v>
      </c>
      <c r="R49" s="8">
        <f t="shared" si="1"/>
        <v>36711775.800750777</v>
      </c>
    </row>
    <row r="50" spans="1:18" x14ac:dyDescent="0.25">
      <c r="A50" s="5" t="s">
        <v>50</v>
      </c>
      <c r="B50" s="5" t="s">
        <v>141</v>
      </c>
      <c r="C50" s="6">
        <v>36.72992</v>
      </c>
      <c r="D50" s="7">
        <f>VLOOKUP(A50,'Costdrivere 2024'!$A$2:$AF$86,28,FALSE)</f>
        <v>3.3474142552310862E-2</v>
      </c>
      <c r="E50" s="8">
        <f>SUMPRODUCT(('Costdrivere 2024'!$A$3:$A$95=A50)*'Costdrivere 2024'!$C$3:$G$95)</f>
        <v>4379730.1555739902</v>
      </c>
      <c r="F50" s="8">
        <f>VLOOKUP(A50,'Costdrivere 2024'!$A$2:$AF$86,32,FALSE)</f>
        <v>8605462.7525620535</v>
      </c>
      <c r="G50" s="8">
        <v>8030462</v>
      </c>
      <c r="H50" s="8">
        <v>5166026.99</v>
      </c>
      <c r="I50" s="8">
        <v>0</v>
      </c>
      <c r="J50" s="8">
        <v>3007230.9759892006</v>
      </c>
      <c r="K50" s="8">
        <f t="shared" si="3"/>
        <v>8173257.9659892004</v>
      </c>
      <c r="L50" s="8">
        <f t="shared" si="4"/>
        <v>16203719.9659892</v>
      </c>
      <c r="M50" s="8">
        <v>0</v>
      </c>
      <c r="N50" s="8">
        <v>0</v>
      </c>
      <c r="O50" s="8">
        <v>0</v>
      </c>
      <c r="P50" s="8">
        <f>G50-N50</f>
        <v>8030462</v>
      </c>
      <c r="Q50" s="8">
        <f>K50-M50-O50</f>
        <v>8173257.9659892004</v>
      </c>
      <c r="R50" s="8">
        <f t="shared" si="1"/>
        <v>16203719.9659892</v>
      </c>
    </row>
    <row r="51" spans="1:18" x14ac:dyDescent="0.25">
      <c r="A51" s="5" t="s">
        <v>51</v>
      </c>
      <c r="B51" s="5" t="s">
        <v>142</v>
      </c>
      <c r="C51" s="6">
        <v>34.704920999999999</v>
      </c>
      <c r="D51" s="7">
        <f>VLOOKUP(A51,'Costdrivere 2024'!$A$2:$AF$86,28,FALSE)</f>
        <v>2.0443573733229543E-2</v>
      </c>
      <c r="E51" s="8">
        <f>SUMPRODUCT(('Costdrivere 2024'!$A$3:$A$95=A51)*'Costdrivere 2024'!$C$3:$G$95)</f>
        <v>13868938.290770475</v>
      </c>
      <c r="F51" s="8">
        <f>VLOOKUP(A51,'Costdrivere 2024'!$A$2:$AF$86,32,FALSE)</f>
        <v>37596175.068271756</v>
      </c>
      <c r="G51" s="8">
        <v>14120360</v>
      </c>
      <c r="H51" s="8">
        <v>22244107.949999999</v>
      </c>
      <c r="I51" s="8">
        <v>2643390</v>
      </c>
      <c r="J51" s="8">
        <v>15485216.683432745</v>
      </c>
      <c r="K51" s="8">
        <f t="shared" si="3"/>
        <v>40372714.633432746</v>
      </c>
      <c r="L51" s="8">
        <f t="shared" si="4"/>
        <v>54493074.633432746</v>
      </c>
      <c r="M51" s="8">
        <v>0</v>
      </c>
      <c r="N51" s="8">
        <v>0</v>
      </c>
      <c r="O51" s="8">
        <v>0</v>
      </c>
      <c r="P51" s="8">
        <f>G51-N51</f>
        <v>14120360</v>
      </c>
      <c r="Q51" s="8">
        <f>K51-M51-O51</f>
        <v>40372714.633432746</v>
      </c>
      <c r="R51" s="8">
        <f t="shared" si="1"/>
        <v>54493074.633432746</v>
      </c>
    </row>
    <row r="52" spans="1:18" x14ac:dyDescent="0.25">
      <c r="A52" s="5" t="s">
        <v>52</v>
      </c>
      <c r="B52" s="5" t="s">
        <v>143</v>
      </c>
      <c r="C52" s="6">
        <v>37.885013000000001</v>
      </c>
      <c r="D52" s="7">
        <f>VLOOKUP(A52,'Costdrivere 2024'!$A$2:$AF$86,28,FALSE)</f>
        <v>3.589982505053152E-2</v>
      </c>
      <c r="E52" s="8">
        <f>SUMPRODUCT(('Costdrivere 2024'!$A$3:$A$95=A52)*'Costdrivere 2024'!$C$3:$G$95)</f>
        <v>7392535.3574246187</v>
      </c>
      <c r="F52" s="8">
        <f>VLOOKUP(A52,'Costdrivere 2024'!$A$2:$AF$86,32,FALSE)</f>
        <v>12773812.055899022</v>
      </c>
      <c r="G52" s="8">
        <v>7738270</v>
      </c>
      <c r="H52" s="8">
        <v>6756193.2300000004</v>
      </c>
      <c r="I52" s="8">
        <v>773848</v>
      </c>
      <c r="J52" s="8">
        <v>4934574.8569599697</v>
      </c>
      <c r="K52" s="8">
        <f t="shared" si="3"/>
        <v>12464616.086959969</v>
      </c>
      <c r="L52" s="8">
        <f t="shared" si="4"/>
        <v>20202886.086959969</v>
      </c>
      <c r="M52" s="8">
        <v>0</v>
      </c>
      <c r="N52" s="8">
        <v>0</v>
      </c>
      <c r="O52" s="8">
        <v>0</v>
      </c>
      <c r="P52" s="8">
        <f>G52-N52</f>
        <v>7738270</v>
      </c>
      <c r="Q52" s="8">
        <f>K52-M52-O52</f>
        <v>12464616.086959969</v>
      </c>
      <c r="R52" s="8">
        <f t="shared" si="1"/>
        <v>20202886.086959969</v>
      </c>
    </row>
    <row r="53" spans="1:18" x14ac:dyDescent="0.25">
      <c r="A53" s="5" t="s">
        <v>54</v>
      </c>
      <c r="B53" s="5" t="s">
        <v>144</v>
      </c>
      <c r="C53" s="6">
        <v>36.332371000000002</v>
      </c>
      <c r="D53" s="7">
        <f>VLOOKUP(A53,'Costdrivere 2024'!$A$2:$AF$86,28,FALSE)</f>
        <v>9.3240536660321158E-2</v>
      </c>
      <c r="E53" s="8">
        <f>SUMPRODUCT(('Costdrivere 2024'!$A$3:$A$95=A53)*'Costdrivere 2024'!$C$3:$G$95)</f>
        <v>5865491.3981637312</v>
      </c>
      <c r="F53" s="8">
        <f>VLOOKUP(A53,'Costdrivere 2024'!$A$2:$AF$86,32,FALSE)</f>
        <v>10144430.955330033</v>
      </c>
      <c r="G53" s="8">
        <v>10442289</v>
      </c>
      <c r="H53" s="8">
        <v>4213426.29</v>
      </c>
      <c r="I53" s="8">
        <v>4400000</v>
      </c>
      <c r="J53" s="8">
        <v>6804428.5685313335</v>
      </c>
      <c r="K53" s="8">
        <f t="shared" si="3"/>
        <v>15417854.858531334</v>
      </c>
      <c r="L53" s="8">
        <f t="shared" si="4"/>
        <v>25860143.858531334</v>
      </c>
      <c r="M53" s="8">
        <v>0</v>
      </c>
      <c r="N53" s="8">
        <v>0</v>
      </c>
      <c r="O53" s="8">
        <v>0</v>
      </c>
      <c r="P53" s="8">
        <f>G53-N53</f>
        <v>10442289</v>
      </c>
      <c r="Q53" s="8">
        <f>K53-M53-O53</f>
        <v>15417854.858531334</v>
      </c>
      <c r="R53" s="8">
        <f t="shared" si="1"/>
        <v>25860143.858531334</v>
      </c>
    </row>
    <row r="54" spans="1:18" x14ac:dyDescent="0.25">
      <c r="A54" s="5" t="s">
        <v>55</v>
      </c>
      <c r="B54" s="5" t="s">
        <v>196</v>
      </c>
      <c r="C54" s="6">
        <v>41.115107000000002</v>
      </c>
      <c r="D54" s="7">
        <f>VLOOKUP(A54,'Costdrivere 2024'!$A$2:$AF$86,28,FALSE)</f>
        <v>4.9851443238375634E-2</v>
      </c>
      <c r="E54" s="8">
        <f>SUMPRODUCT(('Costdrivere 2024'!$A$3:$A$95=A54)*'Costdrivere 2024'!$C$3:$G$95)</f>
        <v>4734130.0659178523</v>
      </c>
      <c r="F54" s="8">
        <f>VLOOKUP(A54,'Costdrivere 2024'!$A$2:$AF$86,32,FALSE)</f>
        <v>7251701.7783471337</v>
      </c>
      <c r="G54" s="8">
        <v>8556534</v>
      </c>
      <c r="H54" s="8">
        <v>4876432.05</v>
      </c>
      <c r="I54" s="8">
        <v>137125</v>
      </c>
      <c r="J54" s="8">
        <v>1675106.2860042863</v>
      </c>
      <c r="K54" s="8">
        <f t="shared" si="3"/>
        <v>6688663.3360042861</v>
      </c>
      <c r="L54" s="8">
        <f t="shared" si="4"/>
        <v>15245197.336004287</v>
      </c>
      <c r="M54" s="8">
        <v>0</v>
      </c>
      <c r="N54" s="8">
        <v>0</v>
      </c>
      <c r="O54" s="8">
        <v>0</v>
      </c>
      <c r="P54" s="8">
        <f>G54-N54</f>
        <v>8556534</v>
      </c>
      <c r="Q54" s="8">
        <f>K54-M54-O54</f>
        <v>6688663.3360042861</v>
      </c>
      <c r="R54" s="8">
        <f t="shared" si="1"/>
        <v>15245197.336004287</v>
      </c>
    </row>
    <row r="55" spans="1:18" x14ac:dyDescent="0.25">
      <c r="A55" s="5" t="s">
        <v>56</v>
      </c>
      <c r="B55" s="5" t="s">
        <v>197</v>
      </c>
      <c r="C55" s="6">
        <v>32.056136000000002</v>
      </c>
      <c r="D55" s="7">
        <f>VLOOKUP(A55,'Costdrivere 2024'!$A$2:$AF$86,28,FALSE)</f>
        <v>5.932194827287017E-2</v>
      </c>
      <c r="E55" s="8">
        <f>SUMPRODUCT(('Costdrivere 2024'!$A$3:$A$95=A55)*'Costdrivere 2024'!$C$3:$G$95)</f>
        <v>13023171.01239107</v>
      </c>
      <c r="F55" s="8">
        <f>VLOOKUP(A55,'Costdrivere 2024'!$A$2:$AF$86,32,FALSE)</f>
        <v>24562382.727947734</v>
      </c>
      <c r="G55" s="8">
        <v>19040853</v>
      </c>
      <c r="H55" s="8">
        <v>12641948.539999999</v>
      </c>
      <c r="I55" s="8">
        <v>131825</v>
      </c>
      <c r="J55" s="8">
        <v>8674404.5113556888</v>
      </c>
      <c r="K55" s="8">
        <f t="shared" si="3"/>
        <v>21448178.05135569</v>
      </c>
      <c r="L55" s="8">
        <f t="shared" si="4"/>
        <v>40489031.05135569</v>
      </c>
      <c r="M55" s="8">
        <v>0</v>
      </c>
      <c r="N55" s="8">
        <v>0</v>
      </c>
      <c r="O55" s="8">
        <v>0</v>
      </c>
      <c r="P55" s="8">
        <f>G55-N55</f>
        <v>19040853</v>
      </c>
      <c r="Q55" s="8">
        <f>K55-M55-O55</f>
        <v>21448178.05135569</v>
      </c>
      <c r="R55" s="8">
        <f t="shared" si="1"/>
        <v>40489031.05135569</v>
      </c>
    </row>
    <row r="56" spans="1:18" x14ac:dyDescent="0.25">
      <c r="A56" s="5" t="s">
        <v>57</v>
      </c>
      <c r="B56" s="5" t="s">
        <v>145</v>
      </c>
      <c r="C56" s="6">
        <v>43.798698999999999</v>
      </c>
      <c r="D56" s="7">
        <f>VLOOKUP(A56,'Costdrivere 2024'!$A$2:$AF$86,28,FALSE)</f>
        <v>0</v>
      </c>
      <c r="E56" s="8">
        <f>SUMPRODUCT(('Costdrivere 2024'!$A$3:$A$95=A56)*'Costdrivere 2024'!$C$3:$G$95)</f>
        <v>16119440.606394745</v>
      </c>
      <c r="F56" s="8">
        <f>VLOOKUP(A56,'Costdrivere 2024'!$A$2:$AF$86,32,FALSE)</f>
        <v>12182085.661232069</v>
      </c>
      <c r="G56" s="8">
        <v>16085644</v>
      </c>
      <c r="H56" s="8">
        <v>2846122.57</v>
      </c>
      <c r="I56" s="8">
        <v>1825000</v>
      </c>
      <c r="J56" s="8">
        <v>5517254.7754295059</v>
      </c>
      <c r="K56" s="8">
        <f t="shared" si="3"/>
        <v>10188377.345429506</v>
      </c>
      <c r="L56" s="8">
        <f t="shared" si="4"/>
        <v>26274021.345429506</v>
      </c>
      <c r="M56" s="8">
        <v>0</v>
      </c>
      <c r="N56" s="8">
        <v>0</v>
      </c>
      <c r="O56" s="8">
        <v>0</v>
      </c>
      <c r="P56" s="8">
        <f>G56-N56</f>
        <v>16085644</v>
      </c>
      <c r="Q56" s="8">
        <f>K56-M56-O56</f>
        <v>10188377.345429506</v>
      </c>
      <c r="R56" s="8">
        <f t="shared" si="1"/>
        <v>26274021.345429506</v>
      </c>
    </row>
    <row r="57" spans="1:18" x14ac:dyDescent="0.25">
      <c r="A57" s="5" t="s">
        <v>58</v>
      </c>
      <c r="B57" s="5" t="s">
        <v>198</v>
      </c>
      <c r="C57" s="6">
        <v>36.547575999999999</v>
      </c>
      <c r="D57" s="7">
        <f>VLOOKUP(A57,'Costdrivere 2024'!$A$2:$AF$86,28,FALSE)</f>
        <v>3.4723232238010562E-2</v>
      </c>
      <c r="E57" s="8">
        <f>SUMPRODUCT(('Costdrivere 2024'!$A$3:$A$95=A57)*'Costdrivere 2024'!$C$3:$G$95)</f>
        <v>17504931.350148775</v>
      </c>
      <c r="F57" s="8">
        <f>VLOOKUP(A57,'Costdrivere 2024'!$A$2:$AF$86,32,FALSE)</f>
        <v>32401465.442610711</v>
      </c>
      <c r="G57" s="8">
        <v>29793848</v>
      </c>
      <c r="H57" s="8">
        <v>16876406.68</v>
      </c>
      <c r="I57" s="8">
        <v>101000</v>
      </c>
      <c r="J57" s="8">
        <v>11828857.145207884</v>
      </c>
      <c r="K57" s="8">
        <f t="shared" si="3"/>
        <v>28806263.825207882</v>
      </c>
      <c r="L57" s="8">
        <f t="shared" si="4"/>
        <v>58600111.825207882</v>
      </c>
      <c r="M57" s="8">
        <v>0</v>
      </c>
      <c r="N57" s="8">
        <v>0</v>
      </c>
      <c r="O57" s="8">
        <v>0</v>
      </c>
      <c r="P57" s="8">
        <f>G57-N57</f>
        <v>29793848</v>
      </c>
      <c r="Q57" s="8">
        <f>K57-M57-O57</f>
        <v>28806263.825207882</v>
      </c>
      <c r="R57" s="8">
        <f t="shared" si="1"/>
        <v>58600111.825207882</v>
      </c>
    </row>
    <row r="58" spans="1:18" x14ac:dyDescent="0.25">
      <c r="A58" s="5" t="s">
        <v>59</v>
      </c>
      <c r="B58" s="5" t="s">
        <v>146</v>
      </c>
      <c r="C58" s="6">
        <v>35.267068999999999</v>
      </c>
      <c r="D58" s="7">
        <f>VLOOKUP(A58,'Costdrivere 2024'!$A$2:$AF$86,28,FALSE)</f>
        <v>4.909631428481858E-2</v>
      </c>
      <c r="E58" s="8">
        <f>SUMPRODUCT(('Costdrivere 2024'!$A$3:$A$95=A58)*'Costdrivere 2024'!$C$3:$G$95)</f>
        <v>5809494.9889357742</v>
      </c>
      <c r="F58" s="8">
        <f>VLOOKUP(A58,'Costdrivere 2024'!$A$2:$AF$86,32,FALSE)</f>
        <v>9505715.6494027618</v>
      </c>
      <c r="G58" s="8">
        <v>7468846</v>
      </c>
      <c r="H58" s="8">
        <v>4743762.49</v>
      </c>
      <c r="I58" s="8">
        <v>729165</v>
      </c>
      <c r="J58" s="8">
        <v>3915297.2647826229</v>
      </c>
      <c r="K58" s="8">
        <f t="shared" si="3"/>
        <v>9388224.7547826227</v>
      </c>
      <c r="L58" s="8">
        <f t="shared" si="4"/>
        <v>16857070.754782625</v>
      </c>
      <c r="M58" s="8">
        <v>0</v>
      </c>
      <c r="N58" s="8">
        <v>0</v>
      </c>
      <c r="O58" s="8">
        <v>0</v>
      </c>
      <c r="P58" s="8">
        <f>G58-N58</f>
        <v>7468846</v>
      </c>
      <c r="Q58" s="8">
        <f>K58-M58-O58</f>
        <v>9388224.7547826227</v>
      </c>
      <c r="R58" s="8">
        <f t="shared" si="1"/>
        <v>16857070.754782625</v>
      </c>
    </row>
    <row r="59" spans="1:18" x14ac:dyDescent="0.25">
      <c r="A59" s="5" t="s">
        <v>60</v>
      </c>
      <c r="B59" s="5" t="s">
        <v>199</v>
      </c>
      <c r="C59" s="6">
        <v>36.573296999999997</v>
      </c>
      <c r="D59" s="7">
        <f>VLOOKUP(A59,'Costdrivere 2024'!$A$2:$AF$86,28,FALSE)</f>
        <v>2.4033344089203205E-2</v>
      </c>
      <c r="E59" s="8">
        <f>SUMPRODUCT(('Costdrivere 2024'!$A$3:$A$95=A59)*'Costdrivere 2024'!$C$3:$G$95)</f>
        <v>10397871.030618319</v>
      </c>
      <c r="F59" s="8">
        <f>VLOOKUP(A59,'Costdrivere 2024'!$A$2:$AF$86,32,FALSE)</f>
        <v>20241638.103217945</v>
      </c>
      <c r="G59" s="8">
        <v>10455644</v>
      </c>
      <c r="H59" s="8">
        <v>11421347.4</v>
      </c>
      <c r="I59" s="8">
        <v>1548332</v>
      </c>
      <c r="J59" s="8">
        <v>8926023.4393088855</v>
      </c>
      <c r="K59" s="8">
        <f t="shared" si="3"/>
        <v>21895702.839308888</v>
      </c>
      <c r="L59" s="8">
        <f t="shared" si="4"/>
        <v>32351346.839308888</v>
      </c>
      <c r="M59" s="8">
        <v>0</v>
      </c>
      <c r="N59" s="8">
        <v>0</v>
      </c>
      <c r="O59" s="8">
        <v>0</v>
      </c>
      <c r="P59" s="8">
        <f>G59-N59</f>
        <v>10455644</v>
      </c>
      <c r="Q59" s="8">
        <f>K59-M59-O59</f>
        <v>21895702.839308888</v>
      </c>
      <c r="R59" s="8">
        <f t="shared" si="1"/>
        <v>32351346.839308888</v>
      </c>
    </row>
    <row r="60" spans="1:18" x14ac:dyDescent="0.25">
      <c r="A60" s="5" t="s">
        <v>61</v>
      </c>
      <c r="B60" s="5" t="s">
        <v>147</v>
      </c>
      <c r="C60" s="6">
        <v>33.909242999999996</v>
      </c>
      <c r="D60" s="7">
        <f>VLOOKUP(A60,'Costdrivere 2024'!$A$2:$AF$86,28,FALSE)</f>
        <v>2.650218008616376E-2</v>
      </c>
      <c r="E60" s="8">
        <f>SUMPRODUCT(('Costdrivere 2024'!$A$3:$A$95=A60)*'Costdrivere 2024'!$C$3:$G$95)</f>
        <v>4605032.8141457625</v>
      </c>
      <c r="F60" s="8">
        <f>VLOOKUP(A60,'Costdrivere 2024'!$A$2:$AF$86,32,FALSE)</f>
        <v>7873117.174899633</v>
      </c>
      <c r="G60" s="8">
        <v>7306142</v>
      </c>
      <c r="H60" s="8">
        <v>5150918.07</v>
      </c>
      <c r="I60" s="8">
        <v>172412</v>
      </c>
      <c r="J60" s="8">
        <v>2931426.2331986073</v>
      </c>
      <c r="K60" s="8">
        <f t="shared" si="3"/>
        <v>8254756.3031986076</v>
      </c>
      <c r="L60" s="8">
        <f t="shared" si="4"/>
        <v>15560898.303198608</v>
      </c>
      <c r="M60" s="8">
        <v>0</v>
      </c>
      <c r="N60" s="8">
        <v>0</v>
      </c>
      <c r="O60" s="8">
        <v>0</v>
      </c>
      <c r="P60" s="8">
        <f>G60-N60</f>
        <v>7306142</v>
      </c>
      <c r="Q60" s="8">
        <f>K60-M60-O60</f>
        <v>8254756.3031986076</v>
      </c>
      <c r="R60" s="8">
        <f t="shared" si="1"/>
        <v>15560898.303198608</v>
      </c>
    </row>
    <row r="61" spans="1:18" x14ac:dyDescent="0.25">
      <c r="A61" s="5" t="s">
        <v>62</v>
      </c>
      <c r="B61" s="5" t="s">
        <v>200</v>
      </c>
      <c r="C61" s="6">
        <v>35.715620000000001</v>
      </c>
      <c r="D61" s="7">
        <f>VLOOKUP(A61,'Costdrivere 2024'!$A$2:$AF$86,28,FALSE)</f>
        <v>4.3620667887880209E-2</v>
      </c>
      <c r="E61" s="8">
        <f>SUMPRODUCT(('Costdrivere 2024'!$A$3:$A$95=A61)*'Costdrivere 2024'!$C$3:$G$95)</f>
        <v>8608693.7769419979</v>
      </c>
      <c r="F61" s="8">
        <f>VLOOKUP(A61,'Costdrivere 2024'!$A$2:$AF$86,32,FALSE)</f>
        <v>18010523.662943941</v>
      </c>
      <c r="G61" s="8">
        <v>13824339</v>
      </c>
      <c r="H61" s="8">
        <v>10460587.49</v>
      </c>
      <c r="I61" s="8">
        <v>3133000</v>
      </c>
      <c r="J61" s="8">
        <v>6413486.3098650835</v>
      </c>
      <c r="K61" s="8">
        <f t="shared" si="3"/>
        <v>20007073.799865082</v>
      </c>
      <c r="L61" s="8">
        <f t="shared" si="4"/>
        <v>33831412.799865082</v>
      </c>
      <c r="M61" s="8">
        <v>0</v>
      </c>
      <c r="N61" s="8">
        <v>0</v>
      </c>
      <c r="O61" s="8">
        <v>0</v>
      </c>
      <c r="P61" s="8">
        <f>G61-N61</f>
        <v>13824339</v>
      </c>
      <c r="Q61" s="8">
        <f>K61-M61-O61</f>
        <v>20007073.799865082</v>
      </c>
      <c r="R61" s="8">
        <f t="shared" si="1"/>
        <v>33831412.799865082</v>
      </c>
    </row>
    <row r="62" spans="1:18" x14ac:dyDescent="0.25">
      <c r="A62" s="5" t="s">
        <v>63</v>
      </c>
      <c r="B62" s="5" t="s">
        <v>201</v>
      </c>
      <c r="C62" s="6">
        <v>37.535519000000001</v>
      </c>
      <c r="D62" s="7">
        <f>VLOOKUP(A62,'Costdrivere 2024'!$A$2:$AF$86,28,FALSE)</f>
        <v>4.4963036300149389E-2</v>
      </c>
      <c r="E62" s="8">
        <f>SUMPRODUCT(('Costdrivere 2024'!$A$3:$A$95=A62)*'Costdrivere 2024'!$C$3:$G$95)</f>
        <v>9490597.1213861126</v>
      </c>
      <c r="F62" s="8">
        <f>VLOOKUP(A62,'Costdrivere 2024'!$A$2:$AF$86,32,FALSE)</f>
        <v>17680033.045381732</v>
      </c>
      <c r="G62" s="8">
        <v>11494015</v>
      </c>
      <c r="H62" s="8">
        <v>10335106.630000001</v>
      </c>
      <c r="I62" s="8">
        <v>236000</v>
      </c>
      <c r="J62" s="8">
        <v>6494390.6759932134</v>
      </c>
      <c r="K62" s="8">
        <f t="shared" si="3"/>
        <v>17065497.305993214</v>
      </c>
      <c r="L62" s="8">
        <f t="shared" si="4"/>
        <v>28559512.305993214</v>
      </c>
      <c r="M62" s="8">
        <v>0</v>
      </c>
      <c r="N62" s="8">
        <v>0</v>
      </c>
      <c r="O62" s="8">
        <v>0</v>
      </c>
      <c r="P62" s="8">
        <f>G62-N62</f>
        <v>11494015</v>
      </c>
      <c r="Q62" s="8">
        <f>K62-M62-O62</f>
        <v>17065497.305993214</v>
      </c>
      <c r="R62" s="8">
        <f t="shared" si="1"/>
        <v>28559512.305993214</v>
      </c>
    </row>
    <row r="63" spans="1:18" x14ac:dyDescent="0.25">
      <c r="A63" s="5" t="s">
        <v>64</v>
      </c>
      <c r="B63" s="5" t="s">
        <v>202</v>
      </c>
      <c r="C63" s="6">
        <v>37.827809000000002</v>
      </c>
      <c r="D63" s="7">
        <f>VLOOKUP(A63,'Costdrivere 2024'!$A$2:$AF$86,28,FALSE)</f>
        <v>2.0938789246827731E-2</v>
      </c>
      <c r="E63" s="8">
        <f>SUMPRODUCT(('Costdrivere 2024'!$A$3:$A$95=A63)*'Costdrivere 2024'!$C$3:$G$95)</f>
        <v>11034225.162588838</v>
      </c>
      <c r="F63" s="8">
        <f>VLOOKUP(A63,'Costdrivere 2024'!$A$2:$AF$86,32,FALSE)</f>
        <v>23023515.280462366</v>
      </c>
      <c r="G63" s="8">
        <v>15091548</v>
      </c>
      <c r="H63" s="8">
        <v>13295501.32</v>
      </c>
      <c r="I63" s="8">
        <v>851858</v>
      </c>
      <c r="J63" s="8">
        <v>6672786.1621489562</v>
      </c>
      <c r="K63" s="8">
        <f t="shared" si="3"/>
        <v>20820145.482148957</v>
      </c>
      <c r="L63" s="8">
        <f t="shared" si="4"/>
        <v>35911693.48214896</v>
      </c>
      <c r="M63" s="8">
        <v>0</v>
      </c>
      <c r="N63" s="8">
        <v>0</v>
      </c>
      <c r="O63" s="8">
        <v>0</v>
      </c>
      <c r="P63" s="8">
        <f>G63-N63</f>
        <v>15091548</v>
      </c>
      <c r="Q63" s="8">
        <f>K63-M63-O63</f>
        <v>20820145.482148957</v>
      </c>
      <c r="R63" s="8">
        <f t="shared" si="1"/>
        <v>35911693.48214896</v>
      </c>
    </row>
    <row r="64" spans="1:18" x14ac:dyDescent="0.25">
      <c r="A64" s="5" t="s">
        <v>65</v>
      </c>
      <c r="B64" s="5" t="s">
        <v>203</v>
      </c>
      <c r="C64" s="6">
        <v>33.525807</v>
      </c>
      <c r="D64" s="7">
        <f>VLOOKUP(A64,'Costdrivere 2024'!$A$2:$AF$86,28,FALSE)</f>
        <v>7.7959514468328092E-2</v>
      </c>
      <c r="E64" s="8">
        <f>SUMPRODUCT(('Costdrivere 2024'!$A$3:$A$95=A64)*'Costdrivere 2024'!$C$3:$G$95)</f>
        <v>39423143.673073195</v>
      </c>
      <c r="F64" s="8">
        <f>VLOOKUP(A64,'Costdrivere 2024'!$A$2:$AF$86,32,FALSE)</f>
        <v>64513607.231273413</v>
      </c>
      <c r="G64" s="8">
        <v>78385416</v>
      </c>
      <c r="H64" s="8">
        <v>34761228.130000003</v>
      </c>
      <c r="I64" s="8">
        <v>10998000</v>
      </c>
      <c r="J64" s="8">
        <v>37306628.119765937</v>
      </c>
      <c r="K64" s="8">
        <f t="shared" si="3"/>
        <v>83065856.249765933</v>
      </c>
      <c r="L64" s="8">
        <f t="shared" si="4"/>
        <v>161451272.24976593</v>
      </c>
      <c r="M64" s="8">
        <v>0</v>
      </c>
      <c r="N64" s="8">
        <v>0</v>
      </c>
      <c r="O64" s="8">
        <v>0</v>
      </c>
      <c r="P64" s="8">
        <f>G64-N64</f>
        <v>78385416</v>
      </c>
      <c r="Q64" s="8">
        <f>K64-M64-O64</f>
        <v>83065856.249765933</v>
      </c>
      <c r="R64" s="8">
        <f t="shared" si="1"/>
        <v>161451272.24976593</v>
      </c>
    </row>
    <row r="65" spans="1:18" x14ac:dyDescent="0.25">
      <c r="A65" s="5" t="s">
        <v>66</v>
      </c>
      <c r="B65" s="5" t="s">
        <v>204</v>
      </c>
      <c r="C65" s="6">
        <v>39.571568999999997</v>
      </c>
      <c r="D65" s="7">
        <f>VLOOKUP(A65,'Costdrivere 2024'!$A$2:$AF$86,28,FALSE)</f>
        <v>1.7213750789497429E-2</v>
      </c>
      <c r="E65" s="8">
        <f>SUMPRODUCT(('Costdrivere 2024'!$A$3:$A$95=A65)*'Costdrivere 2024'!$C$3:$G$95)</f>
        <v>6285843.0281610936</v>
      </c>
      <c r="F65" s="8">
        <f>VLOOKUP(A65,'Costdrivere 2024'!$A$2:$AF$86,32,FALSE)</f>
        <v>21527760.411665224</v>
      </c>
      <c r="G65" s="8">
        <v>9780075</v>
      </c>
      <c r="H65" s="8">
        <v>8565505.3200000003</v>
      </c>
      <c r="I65" s="8">
        <v>1047366</v>
      </c>
      <c r="J65" s="8">
        <v>4370048.0071271779</v>
      </c>
      <c r="K65" s="8">
        <f t="shared" si="3"/>
        <v>13982919.327127177</v>
      </c>
      <c r="L65" s="8">
        <f t="shared" si="4"/>
        <v>23762994.327127177</v>
      </c>
      <c r="M65" s="8">
        <v>0</v>
      </c>
      <c r="N65" s="8">
        <v>0</v>
      </c>
      <c r="O65" s="8">
        <v>0</v>
      </c>
      <c r="P65" s="8">
        <f>G65-N65</f>
        <v>9780075</v>
      </c>
      <c r="Q65" s="8">
        <f>K65-M65-O65</f>
        <v>13982919.327127177</v>
      </c>
      <c r="R65" s="8">
        <f t="shared" si="1"/>
        <v>23762994.327127177</v>
      </c>
    </row>
    <row r="66" spans="1:18" x14ac:dyDescent="0.25">
      <c r="A66" s="5" t="s">
        <v>67</v>
      </c>
      <c r="B66" s="5" t="s">
        <v>148</v>
      </c>
      <c r="C66" s="6">
        <v>45.434285000000003</v>
      </c>
      <c r="D66" s="7">
        <f>VLOOKUP(A66,'Costdrivere 2024'!$A$2:$AF$86,28,FALSE)</f>
        <v>0.10856628136598274</v>
      </c>
      <c r="E66" s="8">
        <f>SUMPRODUCT(('Costdrivere 2024'!$A$3:$A$95=A66)*'Costdrivere 2024'!$C$3:$G$95)</f>
        <v>5578489.5889132125</v>
      </c>
      <c r="F66" s="8">
        <f>VLOOKUP(A66,'Costdrivere 2024'!$A$2:$AF$86,32,FALSE)</f>
        <v>8834367.5081020854</v>
      </c>
      <c r="G66" s="8">
        <v>13225238</v>
      </c>
      <c r="H66" s="8">
        <v>4698623.9800000004</v>
      </c>
      <c r="I66" s="8">
        <v>1322200</v>
      </c>
      <c r="J66" s="8">
        <v>4487579.8649725495</v>
      </c>
      <c r="K66" s="8">
        <f t="shared" ref="K66:K76" si="5">SUM(H66:J66)</f>
        <v>10508403.844972551</v>
      </c>
      <c r="L66" s="8">
        <f t="shared" si="4"/>
        <v>23733641.844972551</v>
      </c>
      <c r="M66" s="8">
        <v>0</v>
      </c>
      <c r="N66" s="8">
        <v>0</v>
      </c>
      <c r="O66" s="8">
        <v>0</v>
      </c>
      <c r="P66" s="8">
        <f>G66-N66</f>
        <v>13225238</v>
      </c>
      <c r="Q66" s="8">
        <f>K66-M66-O66</f>
        <v>10508403.844972551</v>
      </c>
      <c r="R66" s="8">
        <f t="shared" si="1"/>
        <v>23733641.844972551</v>
      </c>
    </row>
    <row r="67" spans="1:18" x14ac:dyDescent="0.25">
      <c r="A67" s="5" t="s">
        <v>68</v>
      </c>
      <c r="B67" s="5" t="s">
        <v>149</v>
      </c>
      <c r="C67" s="6">
        <v>34.694029</v>
      </c>
      <c r="D67" s="7">
        <f>VLOOKUP(A67,'Costdrivere 2024'!$A$2:$AF$86,28,FALSE)</f>
        <v>0.13750314597669097</v>
      </c>
      <c r="E67" s="8">
        <f>SUMPRODUCT(('Costdrivere 2024'!$A$3:$A$95=A67)*'Costdrivere 2024'!$C$3:$G$95)</f>
        <v>7666767.4202712812</v>
      </c>
      <c r="F67" s="8">
        <f>VLOOKUP(A67,'Costdrivere 2024'!$A$2:$AF$86,32,FALSE)</f>
        <v>13828350.562448436</v>
      </c>
      <c r="G67" s="8">
        <v>14740659</v>
      </c>
      <c r="H67" s="8">
        <v>8136095.6900000004</v>
      </c>
      <c r="I67" s="8">
        <v>3721000</v>
      </c>
      <c r="J67" s="8">
        <v>7926463.6736345356</v>
      </c>
      <c r="K67" s="8">
        <f t="shared" si="5"/>
        <v>19783559.363634538</v>
      </c>
      <c r="L67" s="8">
        <f t="shared" si="4"/>
        <v>34524218.363634542</v>
      </c>
      <c r="M67" s="8">
        <v>0</v>
      </c>
      <c r="N67" s="8">
        <v>0</v>
      </c>
      <c r="O67" s="8">
        <v>0</v>
      </c>
      <c r="P67" s="8">
        <f>G67-N67</f>
        <v>14740659</v>
      </c>
      <c r="Q67" s="8">
        <f>K67-M67-O67</f>
        <v>19783559.363634538</v>
      </c>
      <c r="R67" s="8">
        <f t="shared" ref="R67:R75" si="6">P67+Q67</f>
        <v>34524218.363634542</v>
      </c>
    </row>
    <row r="68" spans="1:18" x14ac:dyDescent="0.25">
      <c r="A68" s="5" t="s">
        <v>69</v>
      </c>
      <c r="B68" s="5" t="s">
        <v>150</v>
      </c>
      <c r="C68" s="6">
        <v>34.984161</v>
      </c>
      <c r="D68" s="7">
        <f>VLOOKUP(A68,'Costdrivere 2024'!$A$2:$AF$86,28,FALSE)</f>
        <v>3.7071486732518671E-2</v>
      </c>
      <c r="E68" s="8">
        <f>SUMPRODUCT(('Costdrivere 2024'!$A$3:$A$95=A68)*'Costdrivere 2024'!$C$3:$G$95)</f>
        <v>6848187.3274025116</v>
      </c>
      <c r="F68" s="8">
        <f>VLOOKUP(A68,'Costdrivere 2024'!$A$2:$AF$86,32,FALSE)</f>
        <v>11875037.480625629</v>
      </c>
      <c r="G68" s="8">
        <v>9323717</v>
      </c>
      <c r="H68" s="8">
        <v>7470484.25</v>
      </c>
      <c r="I68" s="8">
        <v>1136000</v>
      </c>
      <c r="J68" s="8">
        <v>4499597.7727304064</v>
      </c>
      <c r="K68" s="8">
        <f t="shared" si="5"/>
        <v>13106082.022730406</v>
      </c>
      <c r="L68" s="8">
        <f t="shared" ref="L68:L76" si="7">G68+K68</f>
        <v>22429799.022730406</v>
      </c>
      <c r="M68" s="8">
        <v>0</v>
      </c>
      <c r="N68" s="8">
        <v>349196</v>
      </c>
      <c r="O68" s="8">
        <v>0</v>
      </c>
      <c r="P68" s="8">
        <f>G68-N68</f>
        <v>8974521</v>
      </c>
      <c r="Q68" s="8">
        <f>K68-M68-O68</f>
        <v>13106082.022730406</v>
      </c>
      <c r="R68" s="8">
        <f t="shared" si="6"/>
        <v>22080603.022730406</v>
      </c>
    </row>
    <row r="69" spans="1:18" x14ac:dyDescent="0.25">
      <c r="A69" s="5" t="s">
        <v>70</v>
      </c>
      <c r="B69" s="5" t="s">
        <v>205</v>
      </c>
      <c r="C69" s="6">
        <v>33.503700000000002</v>
      </c>
      <c r="D69" s="7">
        <f>VLOOKUP(A69,'Costdrivere 2024'!$A$2:$AF$86,28,FALSE)</f>
        <v>0.10961918813120355</v>
      </c>
      <c r="E69" s="8">
        <f>SUMPRODUCT(('Costdrivere 2024'!$A$3:$A$95=A69)*'Costdrivere 2024'!$C$3:$G$95)</f>
        <v>41567809.47517325</v>
      </c>
      <c r="F69" s="8">
        <f>VLOOKUP(A69,'Costdrivere 2024'!$A$2:$AF$86,32,FALSE)</f>
        <v>58551758.548645921</v>
      </c>
      <c r="G69" s="8">
        <v>50598306</v>
      </c>
      <c r="H69" s="8">
        <v>34350724.539999999</v>
      </c>
      <c r="I69" s="8">
        <v>3227000</v>
      </c>
      <c r="J69" s="8">
        <v>23765945.861646615</v>
      </c>
      <c r="K69" s="8">
        <f t="shared" si="5"/>
        <v>61343670.401646614</v>
      </c>
      <c r="L69" s="8">
        <f t="shared" si="7"/>
        <v>111941976.40164661</v>
      </c>
      <c r="M69" s="8">
        <v>0</v>
      </c>
      <c r="N69" s="8">
        <v>0</v>
      </c>
      <c r="O69" s="8">
        <v>0</v>
      </c>
      <c r="P69" s="8">
        <f>G69-N69</f>
        <v>50598306</v>
      </c>
      <c r="Q69" s="8">
        <f>K69-M69-O69</f>
        <v>61343670.401646614</v>
      </c>
      <c r="R69" s="8">
        <f t="shared" si="6"/>
        <v>111941976.40164661</v>
      </c>
    </row>
    <row r="70" spans="1:18" x14ac:dyDescent="0.25">
      <c r="A70" s="5" t="s">
        <v>72</v>
      </c>
      <c r="B70" s="5" t="s">
        <v>71</v>
      </c>
      <c r="C70" s="6">
        <v>18.403362999999999</v>
      </c>
      <c r="D70" s="7">
        <f>VLOOKUP(A70,'Costdrivere 2024'!$A$2:$AF$86,28,FALSE)</f>
        <v>0</v>
      </c>
      <c r="E70" s="8">
        <f>SUMPRODUCT(('Costdrivere 2024'!$A$3:$A$95=A70)*'Costdrivere 2024'!$C$3:$G$95)</f>
        <v>346540.88500000007</v>
      </c>
      <c r="F70" s="8">
        <f>VLOOKUP(A70,'Costdrivere 2024'!$A$2:$AF$86,32,FALSE)</f>
        <v>971895.88192669954</v>
      </c>
      <c r="G70" s="8">
        <v>5836499</v>
      </c>
      <c r="H70" s="8">
        <v>925888.76</v>
      </c>
      <c r="I70" s="8">
        <v>106904</v>
      </c>
      <c r="J70" s="8">
        <v>47036.367347040898</v>
      </c>
      <c r="K70" s="8">
        <f t="shared" si="5"/>
        <v>1079829.1273470409</v>
      </c>
      <c r="L70" s="8">
        <f t="shared" si="7"/>
        <v>6916328.1273470409</v>
      </c>
      <c r="M70" s="8">
        <v>0</v>
      </c>
      <c r="N70" s="8">
        <v>4311787</v>
      </c>
      <c r="O70" s="8">
        <v>0</v>
      </c>
      <c r="P70" s="8">
        <f>G70-N70</f>
        <v>1524712</v>
      </c>
      <c r="Q70" s="8">
        <f>K70-M70-O70</f>
        <v>1079829.1273470409</v>
      </c>
      <c r="R70" s="8">
        <f t="shared" si="6"/>
        <v>2604541.1273470409</v>
      </c>
    </row>
    <row r="71" spans="1:18" x14ac:dyDescent="0.25">
      <c r="A71" s="5" t="s">
        <v>73</v>
      </c>
      <c r="B71" s="5" t="s">
        <v>206</v>
      </c>
      <c r="C71" s="6">
        <v>33.349131</v>
      </c>
      <c r="D71" s="7">
        <f>VLOOKUP(A71,'Costdrivere 2024'!$A$2:$AF$86,28,FALSE)</f>
        <v>3.0835101714733078E-2</v>
      </c>
      <c r="E71" s="8">
        <f>SUMPRODUCT(('Costdrivere 2024'!$A$3:$A$95=A71)*'Costdrivere 2024'!$C$3:$G$95)</f>
        <v>3965667.2441420206</v>
      </c>
      <c r="F71" s="8">
        <f>VLOOKUP(A71,'Costdrivere 2024'!$A$2:$AF$86,32,FALSE)</f>
        <v>7707951.4734995086</v>
      </c>
      <c r="G71" s="8">
        <v>4713777</v>
      </c>
      <c r="H71" s="8">
        <v>3966721.94</v>
      </c>
      <c r="I71" s="8">
        <v>783640</v>
      </c>
      <c r="J71" s="8">
        <v>2572428.4412050718</v>
      </c>
      <c r="K71" s="8">
        <f t="shared" si="5"/>
        <v>7322790.3812050708</v>
      </c>
      <c r="L71" s="8">
        <f t="shared" si="7"/>
        <v>12036567.381205071</v>
      </c>
      <c r="M71" s="8">
        <v>0</v>
      </c>
      <c r="N71" s="8">
        <v>0</v>
      </c>
      <c r="O71" s="8">
        <v>0</v>
      </c>
      <c r="P71" s="8">
        <f>G71-N71</f>
        <v>4713777</v>
      </c>
      <c r="Q71" s="8">
        <f>K71-M71-O71</f>
        <v>7322790.3812050708</v>
      </c>
      <c r="R71" s="8">
        <f t="shared" si="6"/>
        <v>12036567.381205071</v>
      </c>
    </row>
    <row r="72" spans="1:18" x14ac:dyDescent="0.25">
      <c r="A72" s="5" t="s">
        <v>74</v>
      </c>
      <c r="B72" s="5" t="s">
        <v>151</v>
      </c>
      <c r="C72" s="6">
        <v>35.665295</v>
      </c>
      <c r="D72" s="7">
        <f>VLOOKUP(A72,'Costdrivere 2024'!$A$2:$AF$86,28,FALSE)</f>
        <v>0.15088334930425276</v>
      </c>
      <c r="E72" s="8">
        <f>SUMPRODUCT(('Costdrivere 2024'!$A$3:$A$95=A72)*'Costdrivere 2024'!$C$3:$G$95)</f>
        <v>10189334.558931392</v>
      </c>
      <c r="F72" s="8">
        <f>VLOOKUP(A72,'Costdrivere 2024'!$A$2:$AF$86,32,FALSE)</f>
        <v>14980974.257480998</v>
      </c>
      <c r="G72" s="8">
        <v>18218725</v>
      </c>
      <c r="H72" s="8">
        <v>10045800.439999999</v>
      </c>
      <c r="I72" s="8">
        <v>1217698</v>
      </c>
      <c r="J72" s="8">
        <v>7670643.9736430356</v>
      </c>
      <c r="K72" s="8">
        <f t="shared" si="5"/>
        <v>18934142.413643036</v>
      </c>
      <c r="L72" s="8">
        <f t="shared" si="7"/>
        <v>37152867.413643032</v>
      </c>
      <c r="M72" s="8">
        <v>0</v>
      </c>
      <c r="N72" s="8">
        <v>0</v>
      </c>
      <c r="O72" s="8">
        <v>0</v>
      </c>
      <c r="P72" s="8">
        <f>G72-N72</f>
        <v>18218725</v>
      </c>
      <c r="Q72" s="8">
        <f>K72-M72-O72</f>
        <v>18934142.413643036</v>
      </c>
      <c r="R72" s="8">
        <f t="shared" si="6"/>
        <v>37152867.413643032</v>
      </c>
    </row>
    <row r="73" spans="1:18" x14ac:dyDescent="0.25">
      <c r="A73" s="5" t="s">
        <v>75</v>
      </c>
      <c r="B73" s="5" t="s">
        <v>207</v>
      </c>
      <c r="C73" s="6">
        <v>36.304108999999997</v>
      </c>
      <c r="D73" s="7">
        <f>VLOOKUP(A73,'Costdrivere 2024'!$A$2:$AF$86,28,FALSE)</f>
        <v>2.6472328507090657E-2</v>
      </c>
      <c r="E73" s="8">
        <f>SUMPRODUCT(('Costdrivere 2024'!$A$3:$A$95=A73)*'Costdrivere 2024'!$C$3:$G$95)</f>
        <v>17546490.882326167</v>
      </c>
      <c r="F73" s="8">
        <f>VLOOKUP(A73,'Costdrivere 2024'!$A$2:$AF$86,32,FALSE)</f>
        <v>33071699.144266054</v>
      </c>
      <c r="G73" s="8">
        <v>20229230</v>
      </c>
      <c r="H73" s="8">
        <v>18027834.32</v>
      </c>
      <c r="I73" s="8">
        <v>1579334</v>
      </c>
      <c r="J73" s="8">
        <v>8270884.8849057499</v>
      </c>
      <c r="K73" s="8">
        <f t="shared" si="5"/>
        <v>27878053.204905748</v>
      </c>
      <c r="L73" s="8">
        <f t="shared" si="7"/>
        <v>48107283.204905748</v>
      </c>
      <c r="M73" s="8">
        <v>0</v>
      </c>
      <c r="N73" s="8">
        <v>0</v>
      </c>
      <c r="O73" s="8">
        <v>0</v>
      </c>
      <c r="P73" s="8">
        <f>G73-N73</f>
        <v>20229230</v>
      </c>
      <c r="Q73" s="8">
        <f>K73-M73-O73</f>
        <v>27878053.204905748</v>
      </c>
      <c r="R73" s="8">
        <f t="shared" si="6"/>
        <v>48107283.204905748</v>
      </c>
    </row>
    <row r="74" spans="1:18" x14ac:dyDescent="0.25">
      <c r="A74" s="5" t="s">
        <v>76</v>
      </c>
      <c r="B74" s="5" t="s">
        <v>208</v>
      </c>
      <c r="C74" s="6">
        <v>37.583297000000002</v>
      </c>
      <c r="D74" s="7">
        <f>VLOOKUP(A74,'Costdrivere 2024'!$A$2:$AF$86,28,FALSE)</f>
        <v>3.7823986467316571E-2</v>
      </c>
      <c r="E74" s="8">
        <f>SUMPRODUCT(('Costdrivere 2024'!$A$3:$A$95=A74)*'Costdrivere 2024'!$C$3:$G$95)</f>
        <v>5956282.2250599228</v>
      </c>
      <c r="F74" s="8">
        <f>VLOOKUP(A74,'Costdrivere 2024'!$A$2:$AF$86,32,FALSE)</f>
        <v>15028910.559518322</v>
      </c>
      <c r="G74" s="8">
        <v>13083549</v>
      </c>
      <c r="H74" s="8">
        <v>5887958.9299999997</v>
      </c>
      <c r="I74" s="8">
        <v>594823</v>
      </c>
      <c r="J74" s="8">
        <v>4672870.3713402599</v>
      </c>
      <c r="K74" s="8">
        <f t="shared" si="5"/>
        <v>11155652.30134026</v>
      </c>
      <c r="L74" s="8">
        <f t="shared" si="7"/>
        <v>24239201.30134026</v>
      </c>
      <c r="M74" s="8">
        <v>0</v>
      </c>
      <c r="N74" s="8">
        <v>0</v>
      </c>
      <c r="O74" s="8">
        <v>0</v>
      </c>
      <c r="P74" s="8">
        <f>G74-N74</f>
        <v>13083549</v>
      </c>
      <c r="Q74" s="8">
        <f>K74-M74-O74</f>
        <v>11155652.30134026</v>
      </c>
      <c r="R74" s="8">
        <f t="shared" si="6"/>
        <v>24239201.30134026</v>
      </c>
    </row>
    <row r="75" spans="1:18" x14ac:dyDescent="0.25">
      <c r="A75" s="5" t="s">
        <v>77</v>
      </c>
      <c r="B75" s="5" t="s">
        <v>152</v>
      </c>
      <c r="C75" s="6">
        <v>32.700569000000002</v>
      </c>
      <c r="D75" s="7">
        <f>VLOOKUP(A75,'Costdrivere 2024'!$A$2:$AF$86,28,FALSE)</f>
        <v>0.12717502397201419</v>
      </c>
      <c r="E75" s="8">
        <f>SUMPRODUCT(('Costdrivere 2024'!$A$3:$A$95=A75)*'Costdrivere 2024'!$C$3:$G$95)</f>
        <v>23283863.962532293</v>
      </c>
      <c r="F75" s="8">
        <f>VLOOKUP(A75,'Costdrivere 2024'!$A$2:$AF$86,32,FALSE)</f>
        <v>43318896.360149682</v>
      </c>
      <c r="G75" s="8">
        <v>40573488</v>
      </c>
      <c r="H75" s="8">
        <v>17650513.989999998</v>
      </c>
      <c r="I75" s="8">
        <v>2070661</v>
      </c>
      <c r="J75" s="8">
        <v>20349638.694651097</v>
      </c>
      <c r="K75" s="8">
        <f t="shared" si="5"/>
        <v>40070813.684651092</v>
      </c>
      <c r="L75" s="8">
        <f t="shared" si="7"/>
        <v>80644301.684651092</v>
      </c>
      <c r="M75" s="8">
        <v>0</v>
      </c>
      <c r="N75" s="8">
        <v>0</v>
      </c>
      <c r="O75" s="8">
        <v>0</v>
      </c>
      <c r="P75" s="8">
        <f>G75-N75</f>
        <v>40573488</v>
      </c>
      <c r="Q75" s="8">
        <f>K75-M75-O75</f>
        <v>40070813.684651092</v>
      </c>
      <c r="R75" s="8">
        <f t="shared" si="6"/>
        <v>80644301.684651092</v>
      </c>
    </row>
    <row r="76" spans="1:18" x14ac:dyDescent="0.25">
      <c r="A76" s="5" t="s">
        <v>78</v>
      </c>
      <c r="B76" s="5" t="s">
        <v>209</v>
      </c>
      <c r="C76" s="6">
        <v>32.537638999999999</v>
      </c>
      <c r="D76" s="7">
        <f>VLOOKUP(A76,'Costdrivere 2024'!$A$2:$AF$86,28,FALSE)</f>
        <v>0.12433517261822327</v>
      </c>
      <c r="E76" s="8">
        <f>SUMPRODUCT(('Costdrivere 2024'!$A$3:$A$95=A76)*'Costdrivere 2024'!$C$3:$G$95)</f>
        <v>51523855.84376283</v>
      </c>
      <c r="F76" s="8">
        <f>VLOOKUP(A76,'Costdrivere 2024'!$A$2:$AF$86,32,FALSE)</f>
        <v>83961287.344768539</v>
      </c>
      <c r="G76" s="8">
        <v>72866344</v>
      </c>
      <c r="H76" s="8">
        <v>47620565.68</v>
      </c>
      <c r="I76" s="8">
        <v>663680</v>
      </c>
      <c r="J76" s="8">
        <v>44741535.667016201</v>
      </c>
      <c r="K76" s="8">
        <f t="shared" si="5"/>
        <v>93025781.3470162</v>
      </c>
      <c r="L76" s="8">
        <f t="shared" si="7"/>
        <v>165892125.34701622</v>
      </c>
      <c r="M76" s="8">
        <v>0</v>
      </c>
      <c r="N76" s="8">
        <v>0</v>
      </c>
      <c r="O76" s="8">
        <v>0</v>
      </c>
      <c r="P76" s="8">
        <f>G76-N76</f>
        <v>72866344</v>
      </c>
      <c r="Q76" s="8">
        <f>K76-M76-O76</f>
        <v>93025781.3470162</v>
      </c>
      <c r="R76" s="8">
        <f>P76+Q76</f>
        <v>165892125.34701622</v>
      </c>
    </row>
    <row r="80" spans="1:18" ht="16.5" customHeight="1" x14ac:dyDescent="0.25"/>
  </sheetData>
  <customSheetViews>
    <customSheetView guid="{2C63D52F-0547-4395-8CA0-C7353D68F8CD}" scale="80">
      <pane xSplit="2" ySplit="2" topLeftCell="C3" activePane="bottomRight" state="frozen"/>
      <selection pane="bottomRight" activeCell="J3" sqref="J3"/>
      <pageMargins left="0.7" right="0.7" top="0.75" bottom="0.75" header="0.3" footer="0.3"/>
      <pageSetup paperSize="9" orientation="portrait" r:id="rId1"/>
    </customSheetView>
    <customSheetView guid="{53A86AE5-34B9-4AAD-8A1B-514545CD4D41}" scale="80" topLeftCell="A40">
      <pane xSplit="2" topLeftCell="G1" activePane="topRight" state="frozen"/>
      <selection pane="topRight" activeCell="S68" sqref="S68"/>
      <pageMargins left="0.7" right="0.7" top="0.75" bottom="0.75" header="0.3" footer="0.3"/>
      <pageSetup paperSize="9" orientation="portrait" r:id="rId2"/>
    </customSheetView>
    <customSheetView guid="{23FC3042-4DA9-4083-9758-54D5110D65D9}" scale="80">
      <pane xSplit="2" ySplit="2" topLeftCell="C3" activePane="bottomRight" state="frozen"/>
      <selection pane="bottomRight" activeCell="J3" sqref="J3"/>
      <pageMargins left="0.7" right="0.7" top="0.75" bottom="0.75" header="0.3" footer="0.3"/>
      <pageSetup paperSize="9" orientation="portrait" r:id="rId3"/>
    </customSheetView>
    <customSheetView guid="{5FBF3CB5-95CF-4C0E-8B39-AC62F6F49BEE}" scale="80">
      <pane xSplit="2" ySplit="1" topLeftCell="C38" activePane="bottomRight" state="frozen"/>
      <selection pane="bottomRight" activeCell="N40" sqref="N40"/>
      <pageMargins left="0.7" right="0.7" top="0.75" bottom="0.75" header="0.3" footer="0.3"/>
      <pageSetup paperSize="9" orientation="portrait" r:id="rId4"/>
    </customSheetView>
    <customSheetView guid="{2CE6916A-B758-47AB-980F-69C7A5893278}" scale="80">
      <pane xSplit="2" ySplit="2" topLeftCell="H42" activePane="bottomRight" state="frozen"/>
      <selection pane="bottomRight" activeCell="N25" sqref="N25"/>
      <pageMargins left="0.7" right="0.7" top="0.75" bottom="0.75" header="0.3" footer="0.3"/>
      <pageSetup paperSize="9" orientation="portrait" r:id="rId5"/>
    </customSheetView>
    <customSheetView guid="{8AB850D7-B944-458B-BCC3-5E89642C0267}" scale="80">
      <pane xSplit="2" ySplit="2" topLeftCell="G48" activePane="bottomRight" state="frozen"/>
      <selection pane="bottomRight" activeCell="G66" sqref="G66"/>
      <pageMargins left="0.7" right="0.7" top="0.75" bottom="0.75" header="0.3" footer="0.3"/>
      <pageSetup paperSize="9" orientation="portrait" r:id="rId6"/>
    </customSheetView>
    <customSheetView guid="{DF8BFEF0-0BD5-4622-BE69-0A50F4CB3BF9}" scale="70">
      <pane xSplit="2" ySplit="2" topLeftCell="C9" activePane="bottomRight" state="frozen"/>
      <selection pane="bottomRight" activeCell="R45" sqref="R45"/>
      <pageMargins left="0.7" right="0.7" top="0.75" bottom="0.75" header="0.3" footer="0.3"/>
      <pageSetup paperSize="9" orientation="portrait" r:id="rId7"/>
    </customSheetView>
    <customSheetView guid="{567A7DB2-5052-48B6-AF10-DEE353704E6F}" scale="70">
      <pane xSplit="2" ySplit="1.1888111888111887" topLeftCell="C3" activePane="bottomRight" state="frozen"/>
      <selection pane="bottomRight" activeCell="H2" sqref="H2:I2"/>
      <pageMargins left="0.7" right="0.7" top="0.75" bottom="0.75" header="0.3" footer="0.3"/>
      <pageSetup paperSize="9" orientation="portrait" r:id="rId8"/>
    </customSheetView>
    <customSheetView guid="{04200D46-0C53-4477-BAC3-AB4074B626AC}" scale="70">
      <pane xSplit="2" ySplit="2" topLeftCell="C3" activePane="bottomRight" state="frozen"/>
      <selection pane="bottomRight"/>
      <pageMargins left="0.7" right="0.7" top="0.75" bottom="0.75" header="0.3" footer="0.3"/>
      <pageSetup paperSize="9" orientation="portrait" r:id="rId9"/>
    </customSheetView>
    <customSheetView guid="{74E4FC22-AA95-4DF3-A713-5EDF3ADB5B44}" scale="70">
      <pane xSplit="2" ySplit="2" topLeftCell="C3" activePane="bottomRight" state="frozen"/>
      <selection pane="bottomRight"/>
      <pageMargins left="0.7" right="0.7" top="0.75" bottom="0.75" header="0.3" footer="0.3"/>
      <pageSetup paperSize="9" orientation="portrait" r:id="rId10"/>
    </customSheetView>
    <customSheetView guid="{23E6A4DE-893A-46F1-B86D-CF441BE94B8E}" scale="80">
      <pane xSplit="2" ySplit="2" topLeftCell="C3" activePane="bottomRight" state="frozen"/>
      <selection pane="bottomRight" activeCell="J5" sqref="J5"/>
      <pageMargins left="0.7" right="0.7" top="0.75" bottom="0.75" header="0.3" footer="0.3"/>
      <pageSetup paperSize="9" orientation="portrait" r:id="rId11"/>
    </customSheetView>
    <customSheetView guid="{829B6B23-535C-44A1-B480-6154D4D7EB30}" scale="80">
      <pane xSplit="2" ySplit="1" topLeftCell="L20" activePane="bottomRight" state="frozen"/>
      <selection pane="bottomRight" activeCell="R45" sqref="R45"/>
      <pageMargins left="0.7" right="0.7" top="0.75" bottom="0.75" header="0.3" footer="0.3"/>
      <pageSetup paperSize="9" orientation="portrait" r:id="rId12"/>
    </customSheetView>
  </customSheetViews>
  <pageMargins left="0.7" right="0.7" top="0.75" bottom="0.75" header="0.3" footer="0.3"/>
  <pageSetup paperSize="9" fitToHeight="0" orientation="landscape"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NVM_0">
    <pageSetUpPr fitToPage="1"/>
  </sheetPr>
  <dimension ref="A1:R80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bestFit="1" customWidth="1"/>
    <col min="2" max="2" width="37.28515625" bestFit="1" customWidth="1"/>
    <col min="3" max="3" width="7.28515625" bestFit="1" customWidth="1"/>
    <col min="4" max="4" width="9.28515625" bestFit="1" customWidth="1"/>
    <col min="5" max="5" width="36.85546875" bestFit="1" customWidth="1"/>
    <col min="6" max="6" width="38.5703125" bestFit="1" customWidth="1"/>
    <col min="7" max="7" width="11.42578125" bestFit="1" customWidth="1"/>
    <col min="8" max="8" width="27.85546875" bestFit="1" customWidth="1"/>
    <col min="9" max="9" width="47.140625" bestFit="1" customWidth="1"/>
    <col min="10" max="10" width="29.7109375" bestFit="1" customWidth="1"/>
    <col min="11" max="11" width="31.140625" bestFit="1" customWidth="1"/>
    <col min="12" max="12" width="82" bestFit="1" customWidth="1"/>
    <col min="13" max="13" width="16" bestFit="1" customWidth="1"/>
    <col min="14" max="14" width="38.7109375" bestFit="1" customWidth="1"/>
    <col min="15" max="15" width="40.5703125" bestFit="1" customWidth="1"/>
    <col min="16" max="16" width="25.42578125" bestFit="1" customWidth="1"/>
    <col min="17" max="17" width="65.42578125" bestFit="1" customWidth="1"/>
    <col min="18" max="18" width="42.140625" bestFit="1" customWidth="1"/>
    <col min="19" max="19" width="19.28515625" bestFit="1" customWidth="1"/>
  </cols>
  <sheetData>
    <row r="1" spans="1:18" ht="39.75" thickBot="1" x14ac:dyDescent="0.3">
      <c r="A1" s="2" t="s">
        <v>104</v>
      </c>
      <c r="B1" s="2" t="s">
        <v>0</v>
      </c>
      <c r="C1" s="2" t="s">
        <v>116</v>
      </c>
      <c r="D1" s="2" t="s">
        <v>123</v>
      </c>
      <c r="E1" s="2" t="s">
        <v>721</v>
      </c>
      <c r="F1" s="2" t="s">
        <v>722</v>
      </c>
      <c r="G1" s="2" t="s">
        <v>117</v>
      </c>
      <c r="H1" s="2" t="s">
        <v>723</v>
      </c>
      <c r="I1" s="2" t="s">
        <v>105</v>
      </c>
      <c r="J1" s="2" t="s">
        <v>119</v>
      </c>
      <c r="K1" s="2" t="s">
        <v>118</v>
      </c>
      <c r="L1" s="2" t="s">
        <v>257</v>
      </c>
      <c r="M1" s="2" t="s">
        <v>106</v>
      </c>
      <c r="N1" s="2" t="s">
        <v>258</v>
      </c>
      <c r="O1" s="2" t="s">
        <v>259</v>
      </c>
      <c r="P1" s="2" t="s">
        <v>120</v>
      </c>
      <c r="Q1" s="2" t="s">
        <v>121</v>
      </c>
      <c r="R1" s="2" t="s">
        <v>681</v>
      </c>
    </row>
    <row r="2" spans="1:18" x14ac:dyDescent="0.25">
      <c r="A2" s="5" t="s">
        <v>1</v>
      </c>
      <c r="B2" s="5" t="s">
        <v>127</v>
      </c>
      <c r="C2" s="6">
        <v>38.085518</v>
      </c>
      <c r="D2" s="7">
        <f>VLOOKUP(A2,'Costdrivere 2025'!$A$2:$AF$86,28,FALSE)</f>
        <v>2.7878899404318595E-2</v>
      </c>
      <c r="E2" s="8">
        <f>SUMPRODUCT(('Costdrivere 2025'!$A$3:$A$95=A2)*'Costdrivere 2025'!$C$3:$G$95)</f>
        <v>6311283.6491825934</v>
      </c>
      <c r="F2" s="8">
        <f>VLOOKUP(A2,'Costdrivere 2025'!$A$2:$AF$86,32,FALSE)</f>
        <v>8866236.0173660386</v>
      </c>
      <c r="G2" s="8">
        <v>5222360</v>
      </c>
      <c r="H2" s="8">
        <v>5155383.84</v>
      </c>
      <c r="I2" s="8">
        <v>0</v>
      </c>
      <c r="J2" s="8">
        <v>3802360.446879073</v>
      </c>
      <c r="K2" s="8">
        <f t="shared" ref="K2:K33" si="0">SUM(H2:J2)</f>
        <v>8957744.2868790738</v>
      </c>
      <c r="L2" s="8">
        <f>G2+K2</f>
        <v>14180104.286879074</v>
      </c>
      <c r="M2" s="8">
        <v>0</v>
      </c>
      <c r="N2" s="8">
        <v>0</v>
      </c>
      <c r="O2" s="8">
        <v>0</v>
      </c>
      <c r="P2" s="8">
        <f>G2-N2</f>
        <v>5222360</v>
      </c>
      <c r="Q2" s="8">
        <f>K2-M2-O2</f>
        <v>8957744.2868790738</v>
      </c>
      <c r="R2" s="8">
        <f>P2+Q2</f>
        <v>14180104.286879074</v>
      </c>
    </row>
    <row r="3" spans="1:18" x14ac:dyDescent="0.25">
      <c r="A3" s="5" t="s">
        <v>2</v>
      </c>
      <c r="B3" s="5" t="s">
        <v>166</v>
      </c>
      <c r="C3" s="6">
        <v>41.161287000000002</v>
      </c>
      <c r="D3" s="7">
        <f>VLOOKUP(A3,'Costdrivere 2025'!$A$2:$AF$86,28,FALSE)</f>
        <v>7.556394603365521E-2</v>
      </c>
      <c r="E3" s="8">
        <f>SUMPRODUCT(('Costdrivere 2025'!$A$3:$A$95=A3)*'Costdrivere 2025'!$C$3:$G$95)</f>
        <v>4989997.4071783517</v>
      </c>
      <c r="F3" s="8">
        <f>VLOOKUP(A3,'Costdrivere 2025'!$A$2:$AF$86,32,FALSE)</f>
        <v>6449710.1211938616</v>
      </c>
      <c r="G3" s="8">
        <v>8818979</v>
      </c>
      <c r="H3" s="8">
        <v>3809117.64</v>
      </c>
      <c r="I3" s="8">
        <v>510146</v>
      </c>
      <c r="J3" s="8">
        <v>2817590.1671412932</v>
      </c>
      <c r="K3" s="8">
        <f t="shared" si="0"/>
        <v>7136853.8071412938</v>
      </c>
      <c r="L3" s="8">
        <f t="shared" ref="L3:L34" si="1">G3+K3</f>
        <v>15955832.807141293</v>
      </c>
      <c r="M3" s="8">
        <v>0</v>
      </c>
      <c r="N3" s="8">
        <v>0</v>
      </c>
      <c r="O3" s="8">
        <v>0</v>
      </c>
      <c r="P3" s="8">
        <f>G3-N3</f>
        <v>8818979</v>
      </c>
      <c r="Q3" s="8">
        <f>K3-M3-O3</f>
        <v>7136853.8071412938</v>
      </c>
      <c r="R3" s="8">
        <f t="shared" ref="R3:R66" si="2">P3+Q3</f>
        <v>15955832.807141293</v>
      </c>
    </row>
    <row r="4" spans="1:18" x14ac:dyDescent="0.25">
      <c r="A4" s="5" t="s">
        <v>3</v>
      </c>
      <c r="B4" s="5" t="s">
        <v>167</v>
      </c>
      <c r="C4" s="6">
        <v>40.332566</v>
      </c>
      <c r="D4" s="7">
        <f>VLOOKUP(A4,'Costdrivere 2025'!$A$2:$AF$86,28,FALSE)</f>
        <v>2.5690598274632871E-2</v>
      </c>
      <c r="E4" s="8">
        <f>SUMPRODUCT(('Costdrivere 2025'!$A$3:$A$95=A4)*'Costdrivere 2025'!$C$3:$G$95)</f>
        <v>6704663.2239454491</v>
      </c>
      <c r="F4" s="8">
        <f>VLOOKUP(A4,'Costdrivere 2025'!$A$2:$AF$86,32,FALSE)</f>
        <v>17623388.341396201</v>
      </c>
      <c r="G4" s="8">
        <v>13976549</v>
      </c>
      <c r="H4" s="8">
        <v>10815372.609999999</v>
      </c>
      <c r="I4" s="8">
        <v>317251</v>
      </c>
      <c r="J4" s="8">
        <v>3530114.723886915</v>
      </c>
      <c r="K4" s="8">
        <f t="shared" si="0"/>
        <v>14662738.333886914</v>
      </c>
      <c r="L4" s="8">
        <f t="shared" si="1"/>
        <v>28639287.333886914</v>
      </c>
      <c r="M4" s="8">
        <v>0</v>
      </c>
      <c r="N4" s="8">
        <v>0</v>
      </c>
      <c r="O4" s="8">
        <v>0</v>
      </c>
      <c r="P4" s="8">
        <f>G4-N4</f>
        <v>13976549</v>
      </c>
      <c r="Q4" s="8">
        <f>K4-M4-O4</f>
        <v>14662738.333886914</v>
      </c>
      <c r="R4" s="8">
        <f t="shared" si="2"/>
        <v>28639287.333886914</v>
      </c>
    </row>
    <row r="5" spans="1:18" x14ac:dyDescent="0.25">
      <c r="A5" s="5" t="s">
        <v>114</v>
      </c>
      <c r="B5" s="5" t="s">
        <v>128</v>
      </c>
      <c r="C5" s="6">
        <v>40.44397</v>
      </c>
      <c r="D5" s="7">
        <f>VLOOKUP(A5,'Costdrivere 2025'!$A$2:$AF$86,28,FALSE)</f>
        <v>1.8809308889632198E-2</v>
      </c>
      <c r="E5" s="8">
        <f>SUMPRODUCT(('Costdrivere 2025'!$A$3:$A$95=A5)*'Costdrivere 2025'!$C$3:$G$95)</f>
        <v>3643581.0629046438</v>
      </c>
      <c r="F5" s="8">
        <f>VLOOKUP(A5,'Costdrivere 2025'!$A$2:$AF$86,32,FALSE)</f>
        <v>5186999.6090665879</v>
      </c>
      <c r="G5" s="8">
        <v>5369053</v>
      </c>
      <c r="H5" s="8">
        <v>3165413.74</v>
      </c>
      <c r="I5" s="8">
        <v>382</v>
      </c>
      <c r="J5" s="8">
        <v>1077315.1352911065</v>
      </c>
      <c r="K5" s="8">
        <f t="shared" si="0"/>
        <v>4243110.8752911072</v>
      </c>
      <c r="L5" s="8">
        <f t="shared" si="1"/>
        <v>9612163.8752911072</v>
      </c>
      <c r="M5" s="8">
        <v>0</v>
      </c>
      <c r="N5" s="8">
        <v>0</v>
      </c>
      <c r="O5" s="8">
        <v>0</v>
      </c>
      <c r="P5" s="8">
        <f>G5-N5</f>
        <v>5369053</v>
      </c>
      <c r="Q5" s="8">
        <f>K5-M5-O5</f>
        <v>4243110.8752911072</v>
      </c>
      <c r="R5" s="8">
        <f t="shared" si="2"/>
        <v>9612163.8752911072</v>
      </c>
    </row>
    <row r="6" spans="1:18" x14ac:dyDescent="0.25">
      <c r="A6" s="5" t="s">
        <v>4</v>
      </c>
      <c r="B6" s="5" t="s">
        <v>168</v>
      </c>
      <c r="C6" s="6">
        <v>34.262442999999998</v>
      </c>
      <c r="D6" s="7">
        <f>VLOOKUP(A6,'Costdrivere 2025'!$A$2:$AF$86,28,FALSE)</f>
        <v>1.8512807216255679E-2</v>
      </c>
      <c r="E6" s="8">
        <f>SUMPRODUCT(('Costdrivere 2025'!$A$3:$A$95=A6)*'Costdrivere 2025'!$C$3:$G$95)</f>
        <v>5327060.0187433995</v>
      </c>
      <c r="F6" s="8">
        <f>VLOOKUP(A6,'Costdrivere 2025'!$A$2:$AF$86,32,FALSE)</f>
        <v>10500120.570153004</v>
      </c>
      <c r="G6" s="8">
        <v>6474331</v>
      </c>
      <c r="H6" s="8">
        <v>6152426.2300000004</v>
      </c>
      <c r="I6" s="8">
        <v>127069</v>
      </c>
      <c r="J6" s="8">
        <v>2277570.8832063698</v>
      </c>
      <c r="K6" s="8">
        <f t="shared" si="0"/>
        <v>8557066.1132063698</v>
      </c>
      <c r="L6" s="8">
        <f t="shared" si="1"/>
        <v>15031397.11320637</v>
      </c>
      <c r="M6" s="8">
        <v>0</v>
      </c>
      <c r="N6" s="8">
        <v>0</v>
      </c>
      <c r="O6" s="8">
        <v>0</v>
      </c>
      <c r="P6" s="8">
        <f>G6-N6</f>
        <v>6474331</v>
      </c>
      <c r="Q6" s="8">
        <f>K6-M6-O6</f>
        <v>8557066.1132063698</v>
      </c>
      <c r="R6" s="8">
        <f t="shared" si="2"/>
        <v>15031397.11320637</v>
      </c>
    </row>
    <row r="7" spans="1:18" x14ac:dyDescent="0.25">
      <c r="A7" s="5" t="s">
        <v>7</v>
      </c>
      <c r="B7" s="5" t="s">
        <v>6</v>
      </c>
      <c r="C7" s="6">
        <v>33.295780000000001</v>
      </c>
      <c r="D7" s="7">
        <f>VLOOKUP(A7,'Costdrivere 2025'!$A$2:$AF$86,28,FALSE)</f>
        <v>5.1275335426215533E-2</v>
      </c>
      <c r="E7" s="8">
        <f>SUMPRODUCT(('Costdrivere 2025'!$A$3:$A$95=A7)*'Costdrivere 2025'!$C$3:$G$95)</f>
        <v>28157656.461625189</v>
      </c>
      <c r="F7" s="8">
        <f>VLOOKUP(A7,'Costdrivere 2025'!$A$2:$AF$86,32,FALSE)</f>
        <v>61672190.845056251</v>
      </c>
      <c r="G7" s="8">
        <v>49113912</v>
      </c>
      <c r="H7" s="8">
        <v>44479102.93</v>
      </c>
      <c r="I7" s="8">
        <v>1251644</v>
      </c>
      <c r="J7" s="8">
        <v>23622641.687744506</v>
      </c>
      <c r="K7" s="8">
        <f t="shared" si="0"/>
        <v>69353388.617744505</v>
      </c>
      <c r="L7" s="8">
        <f t="shared" si="1"/>
        <v>118467300.61774451</v>
      </c>
      <c r="M7" s="8">
        <v>0</v>
      </c>
      <c r="N7" s="8">
        <v>0</v>
      </c>
      <c r="O7" s="8">
        <v>0</v>
      </c>
      <c r="P7" s="8">
        <f>G7-N7</f>
        <v>49113912</v>
      </c>
      <c r="Q7" s="8">
        <f>K7-M7-O7</f>
        <v>69353388.617744505</v>
      </c>
      <c r="R7" s="8">
        <f t="shared" si="2"/>
        <v>118467300.61774451</v>
      </c>
    </row>
    <row r="8" spans="1:18" x14ac:dyDescent="0.25">
      <c r="A8" s="5" t="s">
        <v>5</v>
      </c>
      <c r="B8" s="5" t="s">
        <v>169</v>
      </c>
      <c r="C8" s="6">
        <v>37.228430000000003</v>
      </c>
      <c r="D8" s="7">
        <f>VLOOKUP(A8,'Costdrivere 2025'!$A$2:$AF$86,28,FALSE)</f>
        <v>5.2304915323328947E-2</v>
      </c>
      <c r="E8" s="8">
        <f>SUMPRODUCT(('Costdrivere 2025'!$A$3:$A$95=A8)*'Costdrivere 2025'!$C$3:$G$95)</f>
        <v>13999909.160149522</v>
      </c>
      <c r="F8" s="8">
        <f>VLOOKUP(A8,'Costdrivere 2025'!$A$2:$AF$86,32,FALSE)</f>
        <v>20362895.636657</v>
      </c>
      <c r="G8" s="8">
        <v>14620625</v>
      </c>
      <c r="H8" s="8">
        <v>12196148.359999999</v>
      </c>
      <c r="I8" s="8">
        <v>818735</v>
      </c>
      <c r="J8" s="8">
        <v>7899383.3439396322</v>
      </c>
      <c r="K8" s="8">
        <f t="shared" si="0"/>
        <v>20914266.703939632</v>
      </c>
      <c r="L8" s="8">
        <f t="shared" si="1"/>
        <v>35534891.703939632</v>
      </c>
      <c r="M8" s="8">
        <v>0</v>
      </c>
      <c r="N8" s="8">
        <v>0</v>
      </c>
      <c r="O8" s="8">
        <v>0</v>
      </c>
      <c r="P8" s="8">
        <f>G8-N8</f>
        <v>14620625</v>
      </c>
      <c r="Q8" s="8">
        <f>K8-M8-O8</f>
        <v>20914266.703939632</v>
      </c>
      <c r="R8" s="8">
        <f t="shared" si="2"/>
        <v>35534891.703939632</v>
      </c>
    </row>
    <row r="9" spans="1:18" x14ac:dyDescent="0.25">
      <c r="A9" s="5" t="s">
        <v>8</v>
      </c>
      <c r="B9" s="5" t="s">
        <v>170</v>
      </c>
      <c r="C9" s="6">
        <v>36.272820000000003</v>
      </c>
      <c r="D9" s="7">
        <f>VLOOKUP(A9,'Costdrivere 2025'!$A$2:$AF$86,28,FALSE)</f>
        <v>3.875324780002231E-2</v>
      </c>
      <c r="E9" s="8">
        <f>SUMPRODUCT(('Costdrivere 2025'!$A$3:$A$95=A9)*'Costdrivere 2025'!$C$3:$G$95)</f>
        <v>6093776.2262139544</v>
      </c>
      <c r="F9" s="8">
        <f>VLOOKUP(A9,'Costdrivere 2025'!$A$2:$AF$86,32,FALSE)</f>
        <v>8277151.0228901654</v>
      </c>
      <c r="G9" s="8">
        <v>7607498</v>
      </c>
      <c r="H9" s="8">
        <v>3238106.56</v>
      </c>
      <c r="I9" s="8">
        <v>807503</v>
      </c>
      <c r="J9" s="8">
        <v>3306066.0086402879</v>
      </c>
      <c r="K9" s="8">
        <f t="shared" si="0"/>
        <v>7351675.568640288</v>
      </c>
      <c r="L9" s="8">
        <f t="shared" si="1"/>
        <v>14959173.568640288</v>
      </c>
      <c r="M9" s="8">
        <v>0</v>
      </c>
      <c r="N9" s="8">
        <v>0</v>
      </c>
      <c r="O9" s="8">
        <v>0</v>
      </c>
      <c r="P9" s="8">
        <f>G9-N9</f>
        <v>7607498</v>
      </c>
      <c r="Q9" s="8">
        <f>K9-M9-O9</f>
        <v>7351675.568640288</v>
      </c>
      <c r="R9" s="8">
        <f t="shared" si="2"/>
        <v>14959173.568640288</v>
      </c>
    </row>
    <row r="10" spans="1:18" x14ac:dyDescent="0.25">
      <c r="A10" s="5" t="s">
        <v>32</v>
      </c>
      <c r="B10" s="5" t="s">
        <v>113</v>
      </c>
      <c r="C10" s="6">
        <v>39.317404000000003</v>
      </c>
      <c r="D10" s="7">
        <f>VLOOKUP(A10,'Costdrivere 2025'!$A$2:$AF$86,28,FALSE)</f>
        <v>9.8508946821797408E-2</v>
      </c>
      <c r="E10" s="8">
        <f>SUMPRODUCT(('Costdrivere 2025'!$A$3:$A$95=A10)*'Costdrivere 2025'!$C$3:$G$95)</f>
        <v>7301178.3608228117</v>
      </c>
      <c r="F10" s="8">
        <f>VLOOKUP(A10,'Costdrivere 2025'!$A$2:$AF$86,32,FALSE)</f>
        <v>10802300.248730039</v>
      </c>
      <c r="G10" s="8">
        <v>12246816</v>
      </c>
      <c r="H10" s="8">
        <v>5234065.25</v>
      </c>
      <c r="I10" s="8">
        <v>931119</v>
      </c>
      <c r="J10" s="8">
        <v>4242691.5643125148</v>
      </c>
      <c r="K10" s="8">
        <f t="shared" si="0"/>
        <v>10407875.814312514</v>
      </c>
      <c r="L10" s="8">
        <f t="shared" si="1"/>
        <v>22654691.814312514</v>
      </c>
      <c r="M10" s="8">
        <v>0</v>
      </c>
      <c r="N10" s="8">
        <v>0</v>
      </c>
      <c r="O10" s="8">
        <v>0</v>
      </c>
      <c r="P10" s="8">
        <f>G10-N10</f>
        <v>12246816</v>
      </c>
      <c r="Q10" s="8">
        <f>K10-M10-O10</f>
        <v>10407875.814312514</v>
      </c>
      <c r="R10" s="8">
        <f t="shared" si="2"/>
        <v>22654691.814312514</v>
      </c>
    </row>
    <row r="11" spans="1:18" x14ac:dyDescent="0.25">
      <c r="A11" s="5" t="s">
        <v>53</v>
      </c>
      <c r="B11" s="5" t="s">
        <v>129</v>
      </c>
      <c r="C11" s="6">
        <v>46.817473999999997</v>
      </c>
      <c r="D11" s="7">
        <f>VLOOKUP(A11,'Costdrivere 2025'!$A$2:$AF$86,28,FALSE)</f>
        <v>0.11376488011903468</v>
      </c>
      <c r="E11" s="8">
        <f>SUMPRODUCT(('Costdrivere 2025'!$A$3:$A$95=A11)*'Costdrivere 2025'!$C$3:$G$95)</f>
        <v>12547906.632162737</v>
      </c>
      <c r="F11" s="8">
        <f>VLOOKUP(A11,'Costdrivere 2025'!$A$2:$AF$86,32,FALSE)</f>
        <v>18054816.186437119</v>
      </c>
      <c r="G11" s="8">
        <v>21051577</v>
      </c>
      <c r="H11" s="8">
        <v>9555634.9800000004</v>
      </c>
      <c r="I11" s="8">
        <v>368692</v>
      </c>
      <c r="J11" s="8">
        <v>6227186.4824554753</v>
      </c>
      <c r="K11" s="8">
        <f t="shared" si="0"/>
        <v>16151513.462455476</v>
      </c>
      <c r="L11" s="8">
        <f t="shared" si="1"/>
        <v>37203090.462455474</v>
      </c>
      <c r="M11" s="8">
        <v>0</v>
      </c>
      <c r="N11" s="8">
        <v>0</v>
      </c>
      <c r="O11" s="8">
        <v>0</v>
      </c>
      <c r="P11" s="8">
        <f>G11-N11</f>
        <v>21051577</v>
      </c>
      <c r="Q11" s="8">
        <f>K11-M11-O11</f>
        <v>16151513.462455476</v>
      </c>
      <c r="R11" s="8">
        <f t="shared" si="2"/>
        <v>37203090.462455474</v>
      </c>
    </row>
    <row r="12" spans="1:18" x14ac:dyDescent="0.25">
      <c r="A12" s="5" t="s">
        <v>9</v>
      </c>
      <c r="B12" s="5" t="s">
        <v>171</v>
      </c>
      <c r="C12" s="6">
        <v>29.881094000000001</v>
      </c>
      <c r="D12" s="7">
        <f>VLOOKUP(A12,'Costdrivere 2025'!$A$2:$AF$86,28,FALSE)</f>
        <v>9.836987262731324E-2</v>
      </c>
      <c r="E12" s="8">
        <f>SUMPRODUCT(('Costdrivere 2025'!$A$3:$A$95=A12)*'Costdrivere 2025'!$C$3:$G$95)</f>
        <v>10597527.510621376</v>
      </c>
      <c r="F12" s="8">
        <f>VLOOKUP(A12,'Costdrivere 2025'!$A$2:$AF$86,32,FALSE)</f>
        <v>21390812.875718106</v>
      </c>
      <c r="G12" s="8">
        <v>20043269</v>
      </c>
      <c r="H12" s="8">
        <v>16034233.210000001</v>
      </c>
      <c r="I12" s="8">
        <v>1956887</v>
      </c>
      <c r="J12" s="8">
        <v>13809272.622852055</v>
      </c>
      <c r="K12" s="8">
        <f t="shared" si="0"/>
        <v>31800392.832852058</v>
      </c>
      <c r="L12" s="8">
        <f t="shared" si="1"/>
        <v>51843661.832852058</v>
      </c>
      <c r="M12" s="8">
        <v>0</v>
      </c>
      <c r="N12" s="8">
        <v>0</v>
      </c>
      <c r="O12" s="8">
        <v>0</v>
      </c>
      <c r="P12" s="8">
        <f>G12-N12</f>
        <v>20043269</v>
      </c>
      <c r="Q12" s="8">
        <f>K12-M12-O12</f>
        <v>31800392.832852058</v>
      </c>
      <c r="R12" s="8">
        <f t="shared" si="2"/>
        <v>51843661.832852058</v>
      </c>
    </row>
    <row r="13" spans="1:18" x14ac:dyDescent="0.25">
      <c r="A13" s="5" t="s">
        <v>10</v>
      </c>
      <c r="B13" s="5" t="s">
        <v>172</v>
      </c>
      <c r="C13" s="6">
        <v>42.059375000000003</v>
      </c>
      <c r="D13" s="7">
        <f>VLOOKUP(A13,'Costdrivere 2025'!$A$2:$AF$86,28,FALSE)</f>
        <v>6.3370593823641908E-2</v>
      </c>
      <c r="E13" s="8">
        <f>SUMPRODUCT(('Costdrivere 2025'!$A$3:$A$95=A13)*'Costdrivere 2025'!$C$3:$G$95)</f>
        <v>5673193.781608521</v>
      </c>
      <c r="F13" s="8">
        <f>VLOOKUP(A13,'Costdrivere 2025'!$A$2:$AF$86,32,FALSE)</f>
        <v>11466318.31417704</v>
      </c>
      <c r="G13" s="8">
        <v>8143693</v>
      </c>
      <c r="H13" s="8">
        <v>6597358.1699999999</v>
      </c>
      <c r="I13" s="8">
        <v>155637</v>
      </c>
      <c r="J13" s="8">
        <v>3328454.3509719293</v>
      </c>
      <c r="K13" s="8">
        <f t="shared" si="0"/>
        <v>10081449.52097193</v>
      </c>
      <c r="L13" s="8">
        <f t="shared" si="1"/>
        <v>18225142.520971932</v>
      </c>
      <c r="M13" s="8">
        <v>0</v>
      </c>
      <c r="N13" s="8">
        <v>0</v>
      </c>
      <c r="O13" s="8">
        <v>0</v>
      </c>
      <c r="P13" s="8">
        <f>G13-N13</f>
        <v>8143693</v>
      </c>
      <c r="Q13" s="8">
        <f>K13-M13-O13</f>
        <v>10081449.52097193</v>
      </c>
      <c r="R13" s="8">
        <f t="shared" si="2"/>
        <v>18225142.520971932</v>
      </c>
    </row>
    <row r="14" spans="1:18" x14ac:dyDescent="0.25">
      <c r="A14" s="5" t="s">
        <v>11</v>
      </c>
      <c r="B14" s="5" t="s">
        <v>173</v>
      </c>
      <c r="C14" s="6">
        <v>29.493136</v>
      </c>
      <c r="D14" s="7">
        <f>VLOOKUP(A14,'Costdrivere 2025'!$A$2:$AF$86,28,FALSE)</f>
        <v>0.38213196325413451</v>
      </c>
      <c r="E14" s="8">
        <f>SUMPRODUCT(('Costdrivere 2025'!$A$3:$A$95=A14)*'Costdrivere 2025'!$C$3:$G$95)</f>
        <v>16971744.288693279</v>
      </c>
      <c r="F14" s="8">
        <f>VLOOKUP(A14,'Costdrivere 2025'!$A$2:$AF$86,32,FALSE)</f>
        <v>14149092.661565959</v>
      </c>
      <c r="G14" s="8">
        <v>43208754</v>
      </c>
      <c r="H14" s="8">
        <v>3556333.02</v>
      </c>
      <c r="I14" s="8">
        <v>13502304</v>
      </c>
      <c r="J14" s="8">
        <v>23020701.804606836</v>
      </c>
      <c r="K14" s="8">
        <f t="shared" si="0"/>
        <v>40079338.824606836</v>
      </c>
      <c r="L14" s="8">
        <f t="shared" si="1"/>
        <v>83288092.824606836</v>
      </c>
      <c r="M14" s="8">
        <v>7557936</v>
      </c>
      <c r="N14" s="8">
        <v>0</v>
      </c>
      <c r="O14" s="8">
        <v>0</v>
      </c>
      <c r="P14" s="8">
        <f>G14-N14</f>
        <v>43208754</v>
      </c>
      <c r="Q14" s="8">
        <f>K14-M14-O14</f>
        <v>32521402.824606836</v>
      </c>
      <c r="R14" s="8">
        <f t="shared" si="2"/>
        <v>75730156.824606836</v>
      </c>
    </row>
    <row r="15" spans="1:18" x14ac:dyDescent="0.25">
      <c r="A15" s="5" t="s">
        <v>12</v>
      </c>
      <c r="B15" s="5" t="s">
        <v>174</v>
      </c>
      <c r="C15" s="6">
        <v>37.137377999999998</v>
      </c>
      <c r="D15" s="7">
        <f>VLOOKUP(A15,'Costdrivere 2025'!$A$2:$AF$86,28,FALSE)</f>
        <v>3.2134027003575392E-2</v>
      </c>
      <c r="E15" s="8">
        <f>SUMPRODUCT(('Costdrivere 2025'!$A$3:$A$95=A15)*'Costdrivere 2025'!$C$3:$G$95)</f>
        <v>19859726.849357449</v>
      </c>
      <c r="F15" s="8">
        <f>VLOOKUP(A15,'Costdrivere 2025'!$A$2:$AF$86,32,FALSE)</f>
        <v>46618902.18857868</v>
      </c>
      <c r="G15" s="8">
        <v>30812923</v>
      </c>
      <c r="H15" s="8">
        <v>27720701.170000002</v>
      </c>
      <c r="I15" s="8">
        <v>6165005</v>
      </c>
      <c r="J15" s="8">
        <v>18925855.440523021</v>
      </c>
      <c r="K15" s="8">
        <f t="shared" si="0"/>
        <v>52811561.610523023</v>
      </c>
      <c r="L15" s="8">
        <f t="shared" si="1"/>
        <v>83624484.610523015</v>
      </c>
      <c r="M15" s="8">
        <v>0</v>
      </c>
      <c r="N15" s="8">
        <v>0</v>
      </c>
      <c r="O15" s="8">
        <v>0</v>
      </c>
      <c r="P15" s="8">
        <f>G15-N15</f>
        <v>30812923</v>
      </c>
      <c r="Q15" s="8">
        <f>K15-M15-O15</f>
        <v>52811561.610523023</v>
      </c>
      <c r="R15" s="8">
        <f t="shared" si="2"/>
        <v>83624484.610523015</v>
      </c>
    </row>
    <row r="16" spans="1:18" x14ac:dyDescent="0.25">
      <c r="A16" s="5" t="s">
        <v>13</v>
      </c>
      <c r="B16" s="5" t="s">
        <v>130</v>
      </c>
      <c r="C16" s="6">
        <v>38.609316</v>
      </c>
      <c r="D16" s="7">
        <f>VLOOKUP(A16,'Costdrivere 2025'!$A$2:$AF$86,28,FALSE)</f>
        <v>5.615962747988526E-2</v>
      </c>
      <c r="E16" s="8">
        <f>SUMPRODUCT(('Costdrivere 2025'!$A$3:$A$95=A16)*'Costdrivere 2025'!$C$3:$G$95)</f>
        <v>7105658.1465526428</v>
      </c>
      <c r="F16" s="8">
        <f>VLOOKUP(A16,'Costdrivere 2025'!$A$2:$AF$86,32,FALSE)</f>
        <v>12433990.886145771</v>
      </c>
      <c r="G16" s="8">
        <v>13007294</v>
      </c>
      <c r="H16" s="8">
        <v>7401064.5</v>
      </c>
      <c r="I16" s="8">
        <v>2673000</v>
      </c>
      <c r="J16" s="8">
        <v>7507072.4432520289</v>
      </c>
      <c r="K16" s="8">
        <f t="shared" si="0"/>
        <v>17581136.943252027</v>
      </c>
      <c r="L16" s="8">
        <f t="shared" si="1"/>
        <v>30588430.943252027</v>
      </c>
      <c r="M16" s="8">
        <v>0</v>
      </c>
      <c r="N16" s="8">
        <v>0</v>
      </c>
      <c r="O16" s="8">
        <v>0</v>
      </c>
      <c r="P16" s="8">
        <f>G16-N16</f>
        <v>13007294</v>
      </c>
      <c r="Q16" s="8">
        <f>K16-M16-O16</f>
        <v>17581136.943252027</v>
      </c>
      <c r="R16" s="8">
        <f t="shared" si="2"/>
        <v>30588430.943252027</v>
      </c>
    </row>
    <row r="17" spans="1:18" x14ac:dyDescent="0.25">
      <c r="A17" s="5" t="s">
        <v>15</v>
      </c>
      <c r="B17" s="5" t="s">
        <v>14</v>
      </c>
      <c r="C17" s="6">
        <v>37.830117999999999</v>
      </c>
      <c r="D17" s="7">
        <f>VLOOKUP(A17,'Costdrivere 2025'!$A$2:$AF$86,28,FALSE)</f>
        <v>7.8715153534066218E-2</v>
      </c>
      <c r="E17" s="8">
        <f>SUMPRODUCT(('Costdrivere 2025'!$A$3:$A$95=A17)*'Costdrivere 2025'!$C$3:$G$95)</f>
        <v>7805679.3804336824</v>
      </c>
      <c r="F17" s="8">
        <f>VLOOKUP(A17,'Costdrivere 2025'!$A$2:$AF$86,32,FALSE)</f>
        <v>12491472.572845181</v>
      </c>
      <c r="G17" s="8">
        <v>12016439</v>
      </c>
      <c r="H17" s="8">
        <v>6738957.8499999996</v>
      </c>
      <c r="I17" s="8">
        <v>706139</v>
      </c>
      <c r="J17" s="8">
        <v>5826243.8898124853</v>
      </c>
      <c r="K17" s="8">
        <f t="shared" si="0"/>
        <v>13271340.739812486</v>
      </c>
      <c r="L17" s="8">
        <f t="shared" si="1"/>
        <v>25287779.739812486</v>
      </c>
      <c r="M17" s="8">
        <v>0</v>
      </c>
      <c r="N17" s="8">
        <v>0</v>
      </c>
      <c r="O17" s="8">
        <v>0</v>
      </c>
      <c r="P17" s="8">
        <f>G17-N17</f>
        <v>12016439</v>
      </c>
      <c r="Q17" s="8">
        <f>K17-M17-O17</f>
        <v>13271340.739812486</v>
      </c>
      <c r="R17" s="8">
        <f t="shared" si="2"/>
        <v>25287779.739812486</v>
      </c>
    </row>
    <row r="18" spans="1:18" x14ac:dyDescent="0.25">
      <c r="A18" s="5" t="s">
        <v>16</v>
      </c>
      <c r="B18" s="5" t="s">
        <v>131</v>
      </c>
      <c r="C18" s="6">
        <v>32.213448</v>
      </c>
      <c r="D18" s="7">
        <f>VLOOKUP(A18,'Costdrivere 2025'!$A$2:$AF$86,28,FALSE)</f>
        <v>0.14217619385188765</v>
      </c>
      <c r="E18" s="8">
        <f>SUMPRODUCT(('Costdrivere 2025'!$A$3:$A$95=A18)*'Costdrivere 2025'!$C$3:$G$95)</f>
        <v>11679115.531328395</v>
      </c>
      <c r="F18" s="8">
        <f>VLOOKUP(A18,'Costdrivere 2025'!$A$2:$AF$86,32,FALSE)</f>
        <v>16226232.919926392</v>
      </c>
      <c r="G18" s="8">
        <v>21511130</v>
      </c>
      <c r="H18" s="8">
        <v>5712645.25</v>
      </c>
      <c r="I18" s="8">
        <v>12485000</v>
      </c>
      <c r="J18" s="8">
        <v>13994207.199830966</v>
      </c>
      <c r="K18" s="8">
        <f t="shared" si="0"/>
        <v>32191852.449830964</v>
      </c>
      <c r="L18" s="8">
        <f t="shared" si="1"/>
        <v>53702982.449830964</v>
      </c>
      <c r="M18" s="8">
        <v>0</v>
      </c>
      <c r="N18" s="8">
        <v>0</v>
      </c>
      <c r="O18" s="8">
        <v>0</v>
      </c>
      <c r="P18" s="8">
        <f>G18-N18</f>
        <v>21511130</v>
      </c>
      <c r="Q18" s="8">
        <f>K18-M18-O18</f>
        <v>32191852.449830964</v>
      </c>
      <c r="R18" s="8">
        <f t="shared" si="2"/>
        <v>53702982.449830964</v>
      </c>
    </row>
    <row r="19" spans="1:18" x14ac:dyDescent="0.25">
      <c r="A19" s="5" t="s">
        <v>17</v>
      </c>
      <c r="B19" s="5" t="s">
        <v>132</v>
      </c>
      <c r="C19" s="6">
        <v>29.846371999999999</v>
      </c>
      <c r="D19" s="7">
        <f>VLOOKUP(A19,'Costdrivere 2025'!$A$2:$AF$86,28,FALSE)</f>
        <v>0.18089757923505209</v>
      </c>
      <c r="E19" s="8">
        <f>SUMPRODUCT(('Costdrivere 2025'!$A$3:$A$95=A19)*'Costdrivere 2025'!$C$3:$G$95)</f>
        <v>8290017.4932860583</v>
      </c>
      <c r="F19" s="8">
        <f>VLOOKUP(A19,'Costdrivere 2025'!$A$2:$AF$86,32,FALSE)</f>
        <v>11587488.255696438</v>
      </c>
      <c r="G19" s="8">
        <v>16124102</v>
      </c>
      <c r="H19" s="8">
        <v>4184808.82</v>
      </c>
      <c r="I19" s="8">
        <v>11452000</v>
      </c>
      <c r="J19" s="8">
        <v>12573190.173562054</v>
      </c>
      <c r="K19" s="8">
        <f t="shared" si="0"/>
        <v>28209998.993562054</v>
      </c>
      <c r="L19" s="8">
        <f t="shared" si="1"/>
        <v>44334100.993562058</v>
      </c>
      <c r="M19" s="8">
        <v>0</v>
      </c>
      <c r="N19" s="8">
        <v>0</v>
      </c>
      <c r="O19" s="8">
        <v>0</v>
      </c>
      <c r="P19" s="8">
        <f>G19-N19</f>
        <v>16124102</v>
      </c>
      <c r="Q19" s="8">
        <f>K19-M19-O19</f>
        <v>28209998.993562054</v>
      </c>
      <c r="R19" s="8">
        <f t="shared" si="2"/>
        <v>44334100.993562058</v>
      </c>
    </row>
    <row r="20" spans="1:18" x14ac:dyDescent="0.25">
      <c r="A20" s="5" t="s">
        <v>18</v>
      </c>
      <c r="B20" s="5" t="s">
        <v>175</v>
      </c>
      <c r="C20" s="6">
        <v>34.810648</v>
      </c>
      <c r="D20" s="7">
        <f>VLOOKUP(A20,'Costdrivere 2025'!$A$2:$AF$86,28,FALSE)</f>
        <v>0.14882374887820027</v>
      </c>
      <c r="E20" s="8">
        <f>SUMPRODUCT(('Costdrivere 2025'!$A$3:$A$95=A20)*'Costdrivere 2025'!$C$3:$G$95)</f>
        <v>4757192.5075314641</v>
      </c>
      <c r="F20" s="8">
        <f>VLOOKUP(A20,'Costdrivere 2025'!$A$2:$AF$86,32,FALSE)</f>
        <v>6545393.7831613068</v>
      </c>
      <c r="G20" s="8">
        <v>7929789</v>
      </c>
      <c r="H20" s="8">
        <v>2918101.74</v>
      </c>
      <c r="I20" s="8">
        <v>1144390</v>
      </c>
      <c r="J20" s="8">
        <v>4673552.0311786979</v>
      </c>
      <c r="K20" s="8">
        <f t="shared" si="0"/>
        <v>8736043.7711786982</v>
      </c>
      <c r="L20" s="8">
        <f t="shared" si="1"/>
        <v>16665832.771178698</v>
      </c>
      <c r="M20" s="8">
        <v>0</v>
      </c>
      <c r="N20" s="8">
        <v>670586</v>
      </c>
      <c r="O20" s="8">
        <v>1211134</v>
      </c>
      <c r="P20" s="8">
        <f>G20-N20</f>
        <v>7259203</v>
      </c>
      <c r="Q20" s="8">
        <f>K20-M20-O20</f>
        <v>7524909.7711786982</v>
      </c>
      <c r="R20" s="8">
        <f t="shared" si="2"/>
        <v>14784112.771178698</v>
      </c>
    </row>
    <row r="21" spans="1:18" x14ac:dyDescent="0.25">
      <c r="A21" s="5" t="s">
        <v>19</v>
      </c>
      <c r="B21" s="5" t="s">
        <v>133</v>
      </c>
      <c r="C21" s="6">
        <v>37.344659</v>
      </c>
      <c r="D21" s="7">
        <f>VLOOKUP(A21,'Costdrivere 2025'!$A$2:$AF$86,28,FALSE)</f>
        <v>5.8364731926871818E-2</v>
      </c>
      <c r="E21" s="8">
        <f>SUMPRODUCT(('Costdrivere 2025'!$A$3:$A$95=A21)*'Costdrivere 2025'!$C$3:$G$95)</f>
        <v>9307455.1240589209</v>
      </c>
      <c r="F21" s="8">
        <f>VLOOKUP(A21,'Costdrivere 2025'!$A$2:$AF$86,32,FALSE)</f>
        <v>25562039.319315303</v>
      </c>
      <c r="G21" s="8">
        <v>11249924</v>
      </c>
      <c r="H21" s="8">
        <v>8938704.0700000003</v>
      </c>
      <c r="I21" s="8">
        <v>397077</v>
      </c>
      <c r="J21" s="8">
        <v>7067483.7101720255</v>
      </c>
      <c r="K21" s="8">
        <f t="shared" si="0"/>
        <v>16403264.780172026</v>
      </c>
      <c r="L21" s="8">
        <f t="shared" si="1"/>
        <v>27653188.780172028</v>
      </c>
      <c r="M21" s="8">
        <v>0</v>
      </c>
      <c r="N21" s="8">
        <v>0</v>
      </c>
      <c r="O21" s="8">
        <v>0</v>
      </c>
      <c r="P21" s="8">
        <f>G21-N21</f>
        <v>11249924</v>
      </c>
      <c r="Q21" s="8">
        <f>K21-M21-O21</f>
        <v>16403264.780172026</v>
      </c>
      <c r="R21" s="8">
        <f t="shared" si="2"/>
        <v>27653188.780172028</v>
      </c>
    </row>
    <row r="22" spans="1:18" x14ac:dyDescent="0.25">
      <c r="A22" s="5" t="s">
        <v>20</v>
      </c>
      <c r="B22" s="5" t="s">
        <v>134</v>
      </c>
      <c r="C22" s="6">
        <v>37.480550000000001</v>
      </c>
      <c r="D22" s="7">
        <f>VLOOKUP(A22,'Costdrivere 2025'!$A$2:$AF$86,28,FALSE)</f>
        <v>2.8127402705753406E-2</v>
      </c>
      <c r="E22" s="8">
        <f>SUMPRODUCT(('Costdrivere 2025'!$A$3:$A$95=A22)*'Costdrivere 2025'!$C$3:$G$95)</f>
        <v>4532341.8828148218</v>
      </c>
      <c r="F22" s="8">
        <f>VLOOKUP(A22,'Costdrivere 2025'!$A$2:$AF$86,32,FALSE)</f>
        <v>8331253.4634106308</v>
      </c>
      <c r="G22" s="8">
        <v>9313512</v>
      </c>
      <c r="H22" s="8">
        <v>5881094.7400000002</v>
      </c>
      <c r="I22" s="8">
        <v>271323</v>
      </c>
      <c r="J22" s="8">
        <v>1186304.184741836</v>
      </c>
      <c r="K22" s="8">
        <f t="shared" si="0"/>
        <v>7338721.9247418363</v>
      </c>
      <c r="L22" s="8">
        <f t="shared" si="1"/>
        <v>16652233.924741836</v>
      </c>
      <c r="M22" s="8">
        <v>0</v>
      </c>
      <c r="N22" s="8">
        <v>0</v>
      </c>
      <c r="O22" s="8">
        <v>0</v>
      </c>
      <c r="P22" s="8">
        <f>G22-N22</f>
        <v>9313512</v>
      </c>
      <c r="Q22" s="8">
        <f>K22-M22-O22</f>
        <v>7338721.9247418363</v>
      </c>
      <c r="R22" s="8">
        <f t="shared" si="2"/>
        <v>16652233.924741836</v>
      </c>
    </row>
    <row r="23" spans="1:18" x14ac:dyDescent="0.25">
      <c r="A23" s="5" t="s">
        <v>21</v>
      </c>
      <c r="B23" s="5" t="s">
        <v>176</v>
      </c>
      <c r="C23" s="6">
        <v>37.878070999999998</v>
      </c>
      <c r="D23" s="7">
        <f>VLOOKUP(A23,'Costdrivere 2025'!$A$2:$AF$86,28,FALSE)</f>
        <v>6.9577728322961996E-2</v>
      </c>
      <c r="E23" s="8">
        <f>SUMPRODUCT(('Costdrivere 2025'!$A$3:$A$95=A23)*'Costdrivere 2025'!$C$3:$G$95)</f>
        <v>6050178.2507039811</v>
      </c>
      <c r="F23" s="8">
        <f>VLOOKUP(A23,'Costdrivere 2025'!$A$2:$AF$86,32,FALSE)</f>
        <v>12715858.708789427</v>
      </c>
      <c r="G23" s="8">
        <v>10960580</v>
      </c>
      <c r="H23" s="8">
        <v>5715971.3399999999</v>
      </c>
      <c r="I23" s="8">
        <v>1317544</v>
      </c>
      <c r="J23" s="8">
        <v>6335557.6721475506</v>
      </c>
      <c r="K23" s="8">
        <f t="shared" si="0"/>
        <v>13369073.01214755</v>
      </c>
      <c r="L23" s="8">
        <f t="shared" si="1"/>
        <v>24329653.01214755</v>
      </c>
      <c r="M23" s="8">
        <v>0</v>
      </c>
      <c r="N23" s="8">
        <v>0</v>
      </c>
      <c r="O23" s="8">
        <v>0</v>
      </c>
      <c r="P23" s="8">
        <f>G23-N23</f>
        <v>10960580</v>
      </c>
      <c r="Q23" s="8">
        <f>K23-M23-O23</f>
        <v>13369073.01214755</v>
      </c>
      <c r="R23" s="8">
        <f t="shared" si="2"/>
        <v>24329653.01214755</v>
      </c>
    </row>
    <row r="24" spans="1:18" x14ac:dyDescent="0.25">
      <c r="A24" s="5" t="s">
        <v>22</v>
      </c>
      <c r="B24" s="5" t="s">
        <v>177</v>
      </c>
      <c r="C24" s="6">
        <v>34.279674</v>
      </c>
      <c r="D24" s="7">
        <f>VLOOKUP(A24,'Costdrivere 2025'!$A$2:$AF$86,28,FALSE)</f>
        <v>5.5469518979498512E-2</v>
      </c>
      <c r="E24" s="8">
        <f>SUMPRODUCT(('Costdrivere 2025'!$A$3:$A$95=A24)*'Costdrivere 2025'!$C$3:$G$95)</f>
        <v>8380190.0852656681</v>
      </c>
      <c r="F24" s="8">
        <f>VLOOKUP(A24,'Costdrivere 2025'!$A$2:$AF$86,32,FALSE)</f>
        <v>13716904.937832806</v>
      </c>
      <c r="G24" s="8">
        <v>10496395</v>
      </c>
      <c r="H24" s="8">
        <v>8789894.5299999993</v>
      </c>
      <c r="I24" s="8">
        <v>2451324</v>
      </c>
      <c r="J24" s="8">
        <v>10444711.77900566</v>
      </c>
      <c r="K24" s="8">
        <f t="shared" si="0"/>
        <v>21685930.309005659</v>
      </c>
      <c r="L24" s="8">
        <f t="shared" si="1"/>
        <v>32182325.309005659</v>
      </c>
      <c r="M24" s="8">
        <v>0</v>
      </c>
      <c r="N24" s="8">
        <v>0</v>
      </c>
      <c r="O24" s="8">
        <v>0</v>
      </c>
      <c r="P24" s="8">
        <f>G24-N24</f>
        <v>10496395</v>
      </c>
      <c r="Q24" s="8">
        <f>K24-M24-O24</f>
        <v>21685930.309005659</v>
      </c>
      <c r="R24" s="8">
        <f t="shared" si="2"/>
        <v>32182325.309005659</v>
      </c>
    </row>
    <row r="25" spans="1:18" x14ac:dyDescent="0.25">
      <c r="A25" s="5" t="s">
        <v>23</v>
      </c>
      <c r="B25" s="5" t="s">
        <v>178</v>
      </c>
      <c r="C25" s="6">
        <v>35.987147</v>
      </c>
      <c r="D25" s="7">
        <f>VLOOKUP(A25,'Costdrivere 2025'!$A$2:$AF$86,28,FALSE)</f>
        <v>2.6899234678158135E-2</v>
      </c>
      <c r="E25" s="8">
        <f>SUMPRODUCT(('Costdrivere 2025'!$A$3:$A$95=A25)*'Costdrivere 2025'!$C$3:$G$95)</f>
        <v>13131073.534804314</v>
      </c>
      <c r="F25" s="8">
        <f>VLOOKUP(A25,'Costdrivere 2025'!$A$2:$AF$86,32,FALSE)</f>
        <v>23643116.663311373</v>
      </c>
      <c r="G25" s="8">
        <v>15868555</v>
      </c>
      <c r="H25" s="8">
        <v>18234811.84</v>
      </c>
      <c r="I25" s="8">
        <v>146116</v>
      </c>
      <c r="J25" s="8">
        <v>7557459.0378792016</v>
      </c>
      <c r="K25" s="8">
        <f t="shared" si="0"/>
        <v>25938386.877879202</v>
      </c>
      <c r="L25" s="8">
        <f t="shared" si="1"/>
        <v>41806941.877879202</v>
      </c>
      <c r="M25" s="8">
        <v>0</v>
      </c>
      <c r="N25" s="8">
        <v>0</v>
      </c>
      <c r="O25" s="8">
        <v>0</v>
      </c>
      <c r="P25" s="8">
        <f>G25-N25</f>
        <v>15868555</v>
      </c>
      <c r="Q25" s="8">
        <f>K25-M25-O25</f>
        <v>25938386.877879202</v>
      </c>
      <c r="R25" s="8">
        <f t="shared" si="2"/>
        <v>41806941.877879202</v>
      </c>
    </row>
    <row r="26" spans="1:18" x14ac:dyDescent="0.25">
      <c r="A26" s="5" t="s">
        <v>24</v>
      </c>
      <c r="B26" s="5" t="s">
        <v>135</v>
      </c>
      <c r="C26" s="6">
        <v>36.35333</v>
      </c>
      <c r="D26" s="7">
        <f>VLOOKUP(A26,'Costdrivere 2025'!$A$2:$AF$86,28,FALSE)</f>
        <v>7.7495534828338958E-2</v>
      </c>
      <c r="E26" s="8">
        <f>SUMPRODUCT(('Costdrivere 2025'!$A$3:$A$95=A26)*'Costdrivere 2025'!$C$3:$G$95)</f>
        <v>5655021.0082000177</v>
      </c>
      <c r="F26" s="8">
        <f>VLOOKUP(A26,'Costdrivere 2025'!$A$2:$AF$86,32,FALSE)</f>
        <v>10847289.949433025</v>
      </c>
      <c r="G26" s="8">
        <v>22909608</v>
      </c>
      <c r="H26" s="8">
        <v>5745917.0099999998</v>
      </c>
      <c r="I26" s="8">
        <v>5125165</v>
      </c>
      <c r="J26" s="8">
        <v>4916260.6959395679</v>
      </c>
      <c r="K26" s="8">
        <f t="shared" si="0"/>
        <v>15787342.705939569</v>
      </c>
      <c r="L26" s="8">
        <f t="shared" si="1"/>
        <v>38696950.705939569</v>
      </c>
      <c r="M26" s="8">
        <v>0</v>
      </c>
      <c r="N26" s="8">
        <v>0</v>
      </c>
      <c r="O26" s="8">
        <v>0</v>
      </c>
      <c r="P26" s="8">
        <f>G26-N26</f>
        <v>22909608</v>
      </c>
      <c r="Q26" s="8">
        <f>K26-M26-O26</f>
        <v>15787342.705939569</v>
      </c>
      <c r="R26" s="8">
        <f t="shared" si="2"/>
        <v>38696950.705939569</v>
      </c>
    </row>
    <row r="27" spans="1:18" x14ac:dyDescent="0.25">
      <c r="A27" s="5" t="s">
        <v>25</v>
      </c>
      <c r="B27" s="5" t="s">
        <v>179</v>
      </c>
      <c r="C27" s="6">
        <v>38.242286</v>
      </c>
      <c r="D27" s="7">
        <f>VLOOKUP(A27,'Costdrivere 2025'!$A$2:$AF$86,28,FALSE)</f>
        <v>3.6481484456214186E-2</v>
      </c>
      <c r="E27" s="8">
        <f>SUMPRODUCT(('Costdrivere 2025'!$A$3:$A$95=A27)*'Costdrivere 2025'!$C$3:$G$95)</f>
        <v>14646175.806951392</v>
      </c>
      <c r="F27" s="8">
        <f>VLOOKUP(A27,'Costdrivere 2025'!$A$2:$AF$86,32,FALSE)</f>
        <v>31616252.718791179</v>
      </c>
      <c r="G27" s="8">
        <v>20319658</v>
      </c>
      <c r="H27" s="8">
        <v>21665875.18</v>
      </c>
      <c r="I27" s="8">
        <v>3183508</v>
      </c>
      <c r="J27" s="8">
        <v>13707258.282400958</v>
      </c>
      <c r="K27" s="8">
        <f t="shared" si="0"/>
        <v>38556641.462400958</v>
      </c>
      <c r="L27" s="8">
        <f t="shared" si="1"/>
        <v>58876299.462400958</v>
      </c>
      <c r="M27" s="8">
        <v>0</v>
      </c>
      <c r="N27" s="8">
        <v>0</v>
      </c>
      <c r="O27" s="8">
        <v>0</v>
      </c>
      <c r="P27" s="8">
        <f>G27-N27</f>
        <v>20319658</v>
      </c>
      <c r="Q27" s="8">
        <f>K27-M27-O27</f>
        <v>38556641.462400958</v>
      </c>
      <c r="R27" s="8">
        <f t="shared" si="2"/>
        <v>58876299.462400958</v>
      </c>
    </row>
    <row r="28" spans="1:18" x14ac:dyDescent="0.25">
      <c r="A28" s="5" t="s">
        <v>26</v>
      </c>
      <c r="B28" s="5" t="s">
        <v>180</v>
      </c>
      <c r="C28" s="6">
        <v>35.183982</v>
      </c>
      <c r="D28" s="7">
        <f>VLOOKUP(A28,'Costdrivere 2025'!$A$2:$AF$86,28,FALSE)</f>
        <v>0.18061876127280049</v>
      </c>
      <c r="E28" s="8">
        <f>SUMPRODUCT(('Costdrivere 2025'!$A$3:$A$95=A28)*'Costdrivere 2025'!$C$3:$G$95)</f>
        <v>2256023.2381206639</v>
      </c>
      <c r="F28" s="8">
        <f>VLOOKUP(A28,'Costdrivere 2025'!$A$2:$AF$86,32,FALSE)</f>
        <v>4805031.062864597</v>
      </c>
      <c r="G28" s="8">
        <v>7948089</v>
      </c>
      <c r="H28" s="8">
        <v>2536699.08</v>
      </c>
      <c r="I28" s="8">
        <v>2823000</v>
      </c>
      <c r="J28" s="8">
        <v>4237978.6235964606</v>
      </c>
      <c r="K28" s="8">
        <f t="shared" si="0"/>
        <v>9597677.7035964616</v>
      </c>
      <c r="L28" s="8">
        <f t="shared" si="1"/>
        <v>17545766.703596462</v>
      </c>
      <c r="M28" s="8">
        <v>0</v>
      </c>
      <c r="N28" s="8">
        <v>0</v>
      </c>
      <c r="O28" s="8">
        <v>0</v>
      </c>
      <c r="P28" s="8">
        <f>G28-N28</f>
        <v>7948089</v>
      </c>
      <c r="Q28" s="8">
        <f>K28-M28-O28</f>
        <v>9597677.7035964616</v>
      </c>
      <c r="R28" s="8">
        <f t="shared" si="2"/>
        <v>17545766.703596462</v>
      </c>
    </row>
    <row r="29" spans="1:18" x14ac:dyDescent="0.25">
      <c r="A29" s="5" t="s">
        <v>27</v>
      </c>
      <c r="B29" s="5" t="s">
        <v>136</v>
      </c>
      <c r="C29" s="6">
        <v>25.527249999999999</v>
      </c>
      <c r="D29" s="7">
        <f>VLOOKUP(A29,'Costdrivere 2025'!$A$2:$AF$86,28,FALSE)</f>
        <v>0.15337143880852835</v>
      </c>
      <c r="E29" s="8">
        <f>SUMPRODUCT(('Costdrivere 2025'!$A$3:$A$95=A29)*'Costdrivere 2025'!$C$3:$G$95)</f>
        <v>6892518.6796798836</v>
      </c>
      <c r="F29" s="8">
        <f>VLOOKUP(A29,'Costdrivere 2025'!$A$2:$AF$86,32,FALSE)</f>
        <v>7064321.0930648129</v>
      </c>
      <c r="G29" s="8">
        <v>11970408</v>
      </c>
      <c r="H29" s="8">
        <v>6887612.3499999996</v>
      </c>
      <c r="I29" s="8">
        <v>4189000</v>
      </c>
      <c r="J29" s="8">
        <v>7422501.43668749</v>
      </c>
      <c r="K29" s="8">
        <f t="shared" si="0"/>
        <v>18499113.78668749</v>
      </c>
      <c r="L29" s="8">
        <f t="shared" si="1"/>
        <v>30469521.78668749</v>
      </c>
      <c r="M29" s="8">
        <v>2065479</v>
      </c>
      <c r="N29" s="8">
        <v>0</v>
      </c>
      <c r="O29" s="8">
        <v>0</v>
      </c>
      <c r="P29" s="8">
        <f>G29-N29</f>
        <v>11970408</v>
      </c>
      <c r="Q29" s="8">
        <f>K29-M29-O29</f>
        <v>16433634.78668749</v>
      </c>
      <c r="R29" s="8">
        <f t="shared" si="2"/>
        <v>28404042.78668749</v>
      </c>
    </row>
    <row r="30" spans="1:18" x14ac:dyDescent="0.25">
      <c r="A30" s="5" t="s">
        <v>28</v>
      </c>
      <c r="B30" s="5" t="s">
        <v>181</v>
      </c>
      <c r="C30" s="6">
        <v>31.325426</v>
      </c>
      <c r="D30" s="7">
        <f>VLOOKUP(A30,'Costdrivere 2025'!$A$2:$AF$86,28,FALSE)</f>
        <v>0.17516532699602039</v>
      </c>
      <c r="E30" s="8">
        <f>SUMPRODUCT(('Costdrivere 2025'!$A$3:$A$95=A30)*'Costdrivere 2025'!$C$3:$G$95)</f>
        <v>2262149.03562399</v>
      </c>
      <c r="F30" s="8">
        <f>VLOOKUP(A30,'Costdrivere 2025'!$A$2:$AF$86,32,FALSE)</f>
        <v>4940178.4804492481</v>
      </c>
      <c r="G30" s="8">
        <v>8577388</v>
      </c>
      <c r="H30" s="8">
        <v>2777053.32</v>
      </c>
      <c r="I30" s="8">
        <v>5451000</v>
      </c>
      <c r="J30" s="8">
        <v>5762409.1103538666</v>
      </c>
      <c r="K30" s="8">
        <f t="shared" si="0"/>
        <v>13990462.430353867</v>
      </c>
      <c r="L30" s="8">
        <f t="shared" si="1"/>
        <v>22567850.430353865</v>
      </c>
      <c r="M30" s="8">
        <v>0</v>
      </c>
      <c r="N30" s="8">
        <v>0</v>
      </c>
      <c r="O30" s="8">
        <v>0</v>
      </c>
      <c r="P30" s="8">
        <f>G30-N30</f>
        <v>8577388</v>
      </c>
      <c r="Q30" s="8">
        <f>K30-M30-O30</f>
        <v>13990462.430353867</v>
      </c>
      <c r="R30" s="8">
        <f t="shared" si="2"/>
        <v>22567850.430353865</v>
      </c>
    </row>
    <row r="31" spans="1:18" x14ac:dyDescent="0.25">
      <c r="A31" s="5" t="s">
        <v>29</v>
      </c>
      <c r="B31" s="5" t="s">
        <v>182</v>
      </c>
      <c r="C31" s="6">
        <v>32.619568999999998</v>
      </c>
      <c r="D31" s="7">
        <f>VLOOKUP(A31,'Costdrivere 2025'!$A$2:$AF$86,28,FALSE)</f>
        <v>0.1477691867689698</v>
      </c>
      <c r="E31" s="8">
        <f>SUMPRODUCT(('Costdrivere 2025'!$A$3:$A$95=A31)*'Costdrivere 2025'!$C$3:$G$95)</f>
        <v>4421119.2017328022</v>
      </c>
      <c r="F31" s="8">
        <f>VLOOKUP(A31,'Costdrivere 2025'!$A$2:$AF$86,32,FALSE)</f>
        <v>9414744.8535623271</v>
      </c>
      <c r="G31" s="8">
        <v>14865882</v>
      </c>
      <c r="H31" s="8">
        <v>5608218.25</v>
      </c>
      <c r="I31" s="8">
        <v>3805000</v>
      </c>
      <c r="J31" s="8">
        <v>8053574.7543877447</v>
      </c>
      <c r="K31" s="8">
        <f t="shared" si="0"/>
        <v>17466793.004387744</v>
      </c>
      <c r="L31" s="8">
        <f t="shared" si="1"/>
        <v>32332675.004387744</v>
      </c>
      <c r="M31" s="8">
        <v>0</v>
      </c>
      <c r="N31" s="8">
        <v>0</v>
      </c>
      <c r="O31" s="8">
        <v>0</v>
      </c>
      <c r="P31" s="8">
        <f>G31-N31</f>
        <v>14865882</v>
      </c>
      <c r="Q31" s="8">
        <f>K31-M31-O31</f>
        <v>17466793.004387744</v>
      </c>
      <c r="R31" s="8">
        <f t="shared" si="2"/>
        <v>32332675.004387744</v>
      </c>
    </row>
    <row r="32" spans="1:18" x14ac:dyDescent="0.25">
      <c r="A32" s="5" t="s">
        <v>30</v>
      </c>
      <c r="B32" s="5" t="s">
        <v>183</v>
      </c>
      <c r="C32" s="6">
        <v>35.027710999999996</v>
      </c>
      <c r="D32" s="7">
        <f>VLOOKUP(A32,'Costdrivere 2025'!$A$2:$AF$86,28,FALSE)</f>
        <v>0.40605435923410482</v>
      </c>
      <c r="E32" s="8">
        <f>SUMPRODUCT(('Costdrivere 2025'!$A$3:$A$95=A32)*'Costdrivere 2025'!$C$3:$G$95)</f>
        <v>141236676.39827085</v>
      </c>
      <c r="F32" s="8">
        <f>VLOOKUP(A32,'Costdrivere 2025'!$A$2:$AF$86,32,FALSE)</f>
        <v>146420188.89236519</v>
      </c>
      <c r="G32" s="8">
        <v>300677704</v>
      </c>
      <c r="H32" s="8">
        <v>75672946.760000005</v>
      </c>
      <c r="I32" s="8">
        <v>65801558</v>
      </c>
      <c r="J32" s="8">
        <v>113455410.98794465</v>
      </c>
      <c r="K32" s="8">
        <f t="shared" si="0"/>
        <v>254929915.74794465</v>
      </c>
      <c r="L32" s="8">
        <f t="shared" si="1"/>
        <v>555607619.74794459</v>
      </c>
      <c r="M32" s="8">
        <v>16107315</v>
      </c>
      <c r="N32" s="8">
        <v>0</v>
      </c>
      <c r="O32" s="8">
        <v>0</v>
      </c>
      <c r="P32" s="8">
        <f>G32-N32</f>
        <v>300677704</v>
      </c>
      <c r="Q32" s="8">
        <f>K32-M32-O32</f>
        <v>238822600.74794465</v>
      </c>
      <c r="R32" s="8">
        <f t="shared" si="2"/>
        <v>539500304.74794459</v>
      </c>
    </row>
    <row r="33" spans="1:18" x14ac:dyDescent="0.25">
      <c r="A33" s="5" t="s">
        <v>31</v>
      </c>
      <c r="B33" s="5" t="s">
        <v>184</v>
      </c>
      <c r="C33" s="6">
        <v>32.832877000000003</v>
      </c>
      <c r="D33" s="7">
        <f>VLOOKUP(A33,'Costdrivere 2025'!$A$2:$AF$86,28,FALSE)</f>
        <v>0.20567877030677167</v>
      </c>
      <c r="E33" s="8">
        <f>SUMPRODUCT(('Costdrivere 2025'!$A$3:$A$95=A33)*'Costdrivere 2025'!$C$3:$G$95)</f>
        <v>3608521.4604381854</v>
      </c>
      <c r="F33" s="8">
        <f>VLOOKUP(A33,'Costdrivere 2025'!$A$2:$AF$86,32,FALSE)</f>
        <v>5641347.6985126026</v>
      </c>
      <c r="G33" s="8">
        <v>10598193</v>
      </c>
      <c r="H33" s="8">
        <v>2534066.16</v>
      </c>
      <c r="I33" s="8">
        <v>5072000</v>
      </c>
      <c r="J33" s="8">
        <v>7171463.6480536619</v>
      </c>
      <c r="K33" s="8">
        <f t="shared" si="0"/>
        <v>14777529.808053661</v>
      </c>
      <c r="L33" s="8">
        <f t="shared" si="1"/>
        <v>25375722.808053661</v>
      </c>
      <c r="M33" s="8">
        <v>0</v>
      </c>
      <c r="N33" s="8">
        <v>0</v>
      </c>
      <c r="O33" s="8">
        <v>0</v>
      </c>
      <c r="P33" s="8">
        <f>G33-N33</f>
        <v>10598193</v>
      </c>
      <c r="Q33" s="8">
        <f>K33-M33-O33</f>
        <v>14777529.808053661</v>
      </c>
      <c r="R33" s="8">
        <f t="shared" si="2"/>
        <v>25375722.808053661</v>
      </c>
    </row>
    <row r="34" spans="1:18" x14ac:dyDescent="0.25">
      <c r="A34" s="5" t="s">
        <v>33</v>
      </c>
      <c r="B34" s="5" t="s">
        <v>137</v>
      </c>
      <c r="C34" s="6">
        <v>36.613073999999997</v>
      </c>
      <c r="D34" s="7">
        <f>VLOOKUP(A34,'Costdrivere 2025'!$A$2:$AF$86,28,FALSE)</f>
        <v>7.740239997484577E-2</v>
      </c>
      <c r="E34" s="8">
        <f>SUMPRODUCT(('Costdrivere 2025'!$A$3:$A$95=A34)*'Costdrivere 2025'!$C$3:$G$95)</f>
        <v>15615409.158608586</v>
      </c>
      <c r="F34" s="8">
        <f>VLOOKUP(A34,'Costdrivere 2025'!$A$2:$AF$86,32,FALSE)</f>
        <v>22275140.232273825</v>
      </c>
      <c r="G34" s="8">
        <v>23554795</v>
      </c>
      <c r="H34" s="8">
        <v>16573646.300000001</v>
      </c>
      <c r="I34" s="8">
        <v>78000</v>
      </c>
      <c r="J34" s="8">
        <v>10198907.806357235</v>
      </c>
      <c r="K34" s="8">
        <f t="shared" ref="K34:K65" si="3">SUM(H34:J34)</f>
        <v>26850554.106357235</v>
      </c>
      <c r="L34" s="8">
        <f t="shared" si="1"/>
        <v>50405349.106357232</v>
      </c>
      <c r="M34" s="8">
        <v>0</v>
      </c>
      <c r="N34" s="8">
        <v>0</v>
      </c>
      <c r="O34" s="8">
        <v>0</v>
      </c>
      <c r="P34" s="8">
        <f>G34-N34</f>
        <v>23554795</v>
      </c>
      <c r="Q34" s="8">
        <f>K34-M34-O34</f>
        <v>26850554.106357235</v>
      </c>
      <c r="R34" s="8">
        <f t="shared" si="2"/>
        <v>50405349.106357232</v>
      </c>
    </row>
    <row r="35" spans="1:18" x14ac:dyDescent="0.25">
      <c r="A35" s="5" t="s">
        <v>34</v>
      </c>
      <c r="B35" s="5" t="s">
        <v>185</v>
      </c>
      <c r="C35" s="6">
        <v>35.058982</v>
      </c>
      <c r="D35" s="7">
        <f>VLOOKUP(A35,'Costdrivere 2025'!$A$2:$AF$86,28,FALSE)</f>
        <v>0.13587386642195259</v>
      </c>
      <c r="E35" s="8">
        <f>SUMPRODUCT(('Costdrivere 2025'!$A$3:$A$95=A35)*'Costdrivere 2025'!$C$3:$G$95)</f>
        <v>5323365.8348985855</v>
      </c>
      <c r="F35" s="8">
        <f>VLOOKUP(A35,'Costdrivere 2025'!$A$2:$AF$86,32,FALSE)</f>
        <v>9164658.258331025</v>
      </c>
      <c r="G35" s="8">
        <v>7371886</v>
      </c>
      <c r="H35" s="8">
        <v>6458861.1699999999</v>
      </c>
      <c r="I35" s="8">
        <v>972620</v>
      </c>
      <c r="J35" s="8">
        <v>5671291.5359881418</v>
      </c>
      <c r="K35" s="8">
        <f t="shared" si="3"/>
        <v>13102772.705988143</v>
      </c>
      <c r="L35" s="8">
        <f t="shared" ref="L35:L66" si="4">G35+K35</f>
        <v>20474658.705988143</v>
      </c>
      <c r="M35" s="8">
        <v>0</v>
      </c>
      <c r="N35" s="8">
        <v>0</v>
      </c>
      <c r="O35" s="8">
        <v>0</v>
      </c>
      <c r="P35" s="8">
        <f>G35-N35</f>
        <v>7371886</v>
      </c>
      <c r="Q35" s="8">
        <f>K35-M35-O35</f>
        <v>13102772.705988143</v>
      </c>
      <c r="R35" s="8">
        <f t="shared" si="2"/>
        <v>20474658.705988143</v>
      </c>
    </row>
    <row r="36" spans="1:18" x14ac:dyDescent="0.25">
      <c r="A36" s="5" t="s">
        <v>35</v>
      </c>
      <c r="B36" s="5" t="s">
        <v>138</v>
      </c>
      <c r="C36" s="6">
        <v>32.959214000000003</v>
      </c>
      <c r="D36" s="7">
        <f>VLOOKUP(A36,'Costdrivere 2025'!$A$2:$AF$86,28,FALSE)</f>
        <v>0.10024482899507457</v>
      </c>
      <c r="E36" s="8">
        <f>SUMPRODUCT(('Costdrivere 2025'!$A$3:$A$95=A36)*'Costdrivere 2025'!$C$3:$G$95)</f>
        <v>2296762.0772765223</v>
      </c>
      <c r="F36" s="8">
        <f>VLOOKUP(A36,'Costdrivere 2025'!$A$2:$AF$86,32,FALSE)</f>
        <v>5720176.2699271655</v>
      </c>
      <c r="G36" s="8">
        <v>4375653</v>
      </c>
      <c r="H36" s="8">
        <v>3601724.56</v>
      </c>
      <c r="I36" s="8">
        <v>1864000</v>
      </c>
      <c r="J36" s="8">
        <v>4291294.2133309785</v>
      </c>
      <c r="K36" s="8">
        <f t="shared" si="3"/>
        <v>9757018.773330979</v>
      </c>
      <c r="L36" s="8">
        <f t="shared" si="4"/>
        <v>14132671.773330979</v>
      </c>
      <c r="M36" s="8">
        <v>0</v>
      </c>
      <c r="N36" s="8">
        <v>0</v>
      </c>
      <c r="O36" s="8">
        <v>0</v>
      </c>
      <c r="P36" s="8">
        <f>G36-N36</f>
        <v>4375653</v>
      </c>
      <c r="Q36" s="8">
        <f>K36-M36-O36</f>
        <v>9757018.773330979</v>
      </c>
      <c r="R36" s="8">
        <f t="shared" si="2"/>
        <v>14132671.773330979</v>
      </c>
    </row>
    <row r="37" spans="1:18" x14ac:dyDescent="0.25">
      <c r="A37" s="5" t="s">
        <v>37</v>
      </c>
      <c r="B37" s="5" t="s">
        <v>36</v>
      </c>
      <c r="C37" s="6">
        <v>30.682527</v>
      </c>
      <c r="D37" s="7">
        <f>VLOOKUP(A37,'Costdrivere 2025'!$A$2:$AF$86,28,FALSE)</f>
        <v>3.4008875806429764E-2</v>
      </c>
      <c r="E37" s="8">
        <f>SUMPRODUCT(('Costdrivere 2025'!$A$3:$A$95=A37)*'Costdrivere 2025'!$C$3:$G$95)</f>
        <v>4400523.1307762302</v>
      </c>
      <c r="F37" s="8">
        <f>VLOOKUP(A37,'Costdrivere 2025'!$A$2:$AF$86,32,FALSE)</f>
        <v>8168163.1463805959</v>
      </c>
      <c r="G37" s="8">
        <v>3679157</v>
      </c>
      <c r="H37" s="8">
        <v>4616940.6500000004</v>
      </c>
      <c r="I37" s="8">
        <v>0</v>
      </c>
      <c r="J37" s="8">
        <v>2243776.2750308439</v>
      </c>
      <c r="K37" s="8">
        <f t="shared" si="3"/>
        <v>6860716.9250308443</v>
      </c>
      <c r="L37" s="8">
        <f t="shared" si="4"/>
        <v>10539873.925030844</v>
      </c>
      <c r="M37" s="8">
        <v>0</v>
      </c>
      <c r="N37" s="8">
        <v>0</v>
      </c>
      <c r="O37" s="8">
        <v>0</v>
      </c>
      <c r="P37" s="8">
        <f>G37-N37</f>
        <v>3679157</v>
      </c>
      <c r="Q37" s="8">
        <f>K37-M37-O37</f>
        <v>6860716.9250308443</v>
      </c>
      <c r="R37" s="8">
        <f t="shared" si="2"/>
        <v>10539873.925030844</v>
      </c>
    </row>
    <row r="38" spans="1:18" x14ac:dyDescent="0.25">
      <c r="A38" s="5" t="s">
        <v>38</v>
      </c>
      <c r="B38" s="5" t="s">
        <v>186</v>
      </c>
      <c r="C38" s="6">
        <v>31.521697</v>
      </c>
      <c r="D38" s="7">
        <f>VLOOKUP(A38,'Costdrivere 2025'!$A$2:$AF$86,28,FALSE)</f>
        <v>0.132077929887154</v>
      </c>
      <c r="E38" s="8">
        <f>SUMPRODUCT(('Costdrivere 2025'!$A$3:$A$95=A38)*'Costdrivere 2025'!$C$3:$G$95)</f>
        <v>3275501.177799684</v>
      </c>
      <c r="F38" s="8">
        <f>VLOOKUP(A38,'Costdrivere 2025'!$A$2:$AF$86,32,FALSE)</f>
        <v>5187854.9192070458</v>
      </c>
      <c r="G38" s="8">
        <v>7895366</v>
      </c>
      <c r="H38" s="8">
        <v>1835189.3</v>
      </c>
      <c r="I38" s="8">
        <v>1195000</v>
      </c>
      <c r="J38" s="8">
        <v>4659297.247668731</v>
      </c>
      <c r="K38" s="8">
        <f t="shared" si="3"/>
        <v>7689486.5476687308</v>
      </c>
      <c r="L38" s="8">
        <f t="shared" si="4"/>
        <v>15584852.547668731</v>
      </c>
      <c r="M38" s="8">
        <v>199678</v>
      </c>
      <c r="N38" s="8">
        <v>0</v>
      </c>
      <c r="O38" s="8">
        <v>0</v>
      </c>
      <c r="P38" s="8">
        <f>G38-N38</f>
        <v>7895366</v>
      </c>
      <c r="Q38" s="8">
        <f>K38-M38-O38</f>
        <v>7489808.5476687308</v>
      </c>
      <c r="R38" s="8">
        <f t="shared" si="2"/>
        <v>15385174.547668731</v>
      </c>
    </row>
    <row r="39" spans="1:18" x14ac:dyDescent="0.25">
      <c r="A39" s="5" t="s">
        <v>39</v>
      </c>
      <c r="B39" s="5" t="s">
        <v>139</v>
      </c>
      <c r="C39" s="6">
        <v>21.047467999999999</v>
      </c>
      <c r="D39" s="7">
        <f>VLOOKUP(A39,'Costdrivere 2025'!$A$2:$AF$86,28,FALSE)</f>
        <v>3.7730723373428514E-4</v>
      </c>
      <c r="E39" s="8">
        <f>SUMPRODUCT(('Costdrivere 2025'!$A$3:$A$95=A39)*'Costdrivere 2025'!$C$3:$G$95)</f>
        <v>6345517.6724264976</v>
      </c>
      <c r="F39" s="8">
        <f>VLOOKUP(A39,'Costdrivere 2025'!$A$2:$AF$86,32,FALSE)</f>
        <v>2741698.6869686306</v>
      </c>
      <c r="G39" s="8">
        <v>14562809</v>
      </c>
      <c r="H39" s="8">
        <v>1785639.27</v>
      </c>
      <c r="I39" s="8">
        <v>830000</v>
      </c>
      <c r="J39" s="8">
        <v>5235962.339927909</v>
      </c>
      <c r="K39" s="8">
        <f t="shared" si="3"/>
        <v>7851601.6099279094</v>
      </c>
      <c r="L39" s="8">
        <f t="shared" si="4"/>
        <v>22414410.609927908</v>
      </c>
      <c r="M39" s="8">
        <v>1304541</v>
      </c>
      <c r="N39" s="8">
        <v>4570806</v>
      </c>
      <c r="O39" s="8">
        <v>0</v>
      </c>
      <c r="P39" s="8">
        <f>G39-N39</f>
        <v>9992003</v>
      </c>
      <c r="Q39" s="8">
        <f>K39-M39-O39</f>
        <v>6547060.6099279094</v>
      </c>
      <c r="R39" s="8">
        <f t="shared" si="2"/>
        <v>16539063.609927909</v>
      </c>
    </row>
    <row r="40" spans="1:18" x14ac:dyDescent="0.25">
      <c r="A40" s="5" t="s">
        <v>40</v>
      </c>
      <c r="B40" s="5" t="s">
        <v>187</v>
      </c>
      <c r="C40" s="6">
        <v>29.529814999999999</v>
      </c>
      <c r="D40" s="7">
        <f>VLOOKUP(A40,'Costdrivere 2025'!$A$2:$AF$86,28,FALSE)</f>
        <v>2.7568902711036857E-2</v>
      </c>
      <c r="E40" s="8">
        <f>SUMPRODUCT(('Costdrivere 2025'!$A$3:$A$95=A40)*'Costdrivere 2025'!$C$3:$G$95)</f>
        <v>8714048.7970269714</v>
      </c>
      <c r="F40" s="8">
        <f>VLOOKUP(A40,'Costdrivere 2025'!$A$2:$AF$86,32,FALSE)</f>
        <v>14980366.116673969</v>
      </c>
      <c r="G40" s="8">
        <v>18296767</v>
      </c>
      <c r="H40" s="8">
        <v>10856749.73</v>
      </c>
      <c r="I40" s="8">
        <v>2358000</v>
      </c>
      <c r="J40" s="8">
        <v>10424162.059854222</v>
      </c>
      <c r="K40" s="8">
        <f t="shared" si="3"/>
        <v>23638911.789854221</v>
      </c>
      <c r="L40" s="8">
        <f t="shared" si="4"/>
        <v>41935678.789854221</v>
      </c>
      <c r="M40" s="8">
        <v>0</v>
      </c>
      <c r="N40" s="8">
        <v>554271</v>
      </c>
      <c r="O40" s="8">
        <v>45506</v>
      </c>
      <c r="P40" s="8">
        <f>G40-N40</f>
        <v>17742496</v>
      </c>
      <c r="Q40" s="8">
        <f>K40-M40-O40</f>
        <v>23593405.789854221</v>
      </c>
      <c r="R40" s="8">
        <f t="shared" si="2"/>
        <v>41335901.789854221</v>
      </c>
    </row>
    <row r="41" spans="1:18" x14ac:dyDescent="0.25">
      <c r="A41" s="5" t="s">
        <v>41</v>
      </c>
      <c r="B41" s="5" t="s">
        <v>188</v>
      </c>
      <c r="C41" s="6">
        <v>39.959547999999998</v>
      </c>
      <c r="D41" s="7">
        <f>VLOOKUP(A41,'Costdrivere 2025'!$A$2:$AF$86,28,FALSE)</f>
        <v>3.372123719628084E-2</v>
      </c>
      <c r="E41" s="8">
        <f>SUMPRODUCT(('Costdrivere 2025'!$A$3:$A$95=A41)*'Costdrivere 2025'!$C$3:$G$95)</f>
        <v>4856175.5711014634</v>
      </c>
      <c r="F41" s="8">
        <f>VLOOKUP(A41,'Costdrivere 2025'!$A$2:$AF$86,32,FALSE)</f>
        <v>9510984.5682174452</v>
      </c>
      <c r="G41" s="8">
        <v>7941679</v>
      </c>
      <c r="H41" s="8">
        <v>4173723.49</v>
      </c>
      <c r="I41" s="8">
        <v>974000</v>
      </c>
      <c r="J41" s="8">
        <v>3316834.0703205392</v>
      </c>
      <c r="K41" s="8">
        <f t="shared" si="3"/>
        <v>8464557.5603205394</v>
      </c>
      <c r="L41" s="8">
        <f t="shared" si="4"/>
        <v>16406236.560320539</v>
      </c>
      <c r="M41" s="8">
        <v>0</v>
      </c>
      <c r="N41" s="8">
        <v>0</v>
      </c>
      <c r="O41" s="8">
        <v>0</v>
      </c>
      <c r="P41" s="8">
        <f>G41-N41</f>
        <v>7941679</v>
      </c>
      <c r="Q41" s="8">
        <f>K41-M41-O41</f>
        <v>8464557.5603205394</v>
      </c>
      <c r="R41" s="8">
        <f t="shared" si="2"/>
        <v>16406236.560320539</v>
      </c>
    </row>
    <row r="42" spans="1:18" x14ac:dyDescent="0.25">
      <c r="A42" s="5" t="s">
        <v>42</v>
      </c>
      <c r="B42" s="5" t="s">
        <v>189</v>
      </c>
      <c r="C42" s="6">
        <v>29.055902</v>
      </c>
      <c r="D42" s="7">
        <f>VLOOKUP(A42,'Costdrivere 2025'!$A$2:$AF$86,28,FALSE)</f>
        <v>7.8652863955073954E-2</v>
      </c>
      <c r="E42" s="8">
        <f>SUMPRODUCT(('Costdrivere 2025'!$A$3:$A$95=A42)*'Costdrivere 2025'!$C$3:$G$95)</f>
        <v>6603869.5050834874</v>
      </c>
      <c r="F42" s="8">
        <f>VLOOKUP(A42,'Costdrivere 2025'!$A$2:$AF$86,32,FALSE)</f>
        <v>13144131.366794296</v>
      </c>
      <c r="G42" s="8">
        <v>11316629</v>
      </c>
      <c r="H42" s="8">
        <v>5926646.46</v>
      </c>
      <c r="I42" s="8">
        <v>3830489</v>
      </c>
      <c r="J42" s="8">
        <v>8029691.5696336646</v>
      </c>
      <c r="K42" s="8">
        <f t="shared" si="3"/>
        <v>17786827.029633664</v>
      </c>
      <c r="L42" s="8">
        <f t="shared" si="4"/>
        <v>29103456.029633664</v>
      </c>
      <c r="M42" s="8">
        <v>0</v>
      </c>
      <c r="N42" s="8">
        <v>0</v>
      </c>
      <c r="O42" s="8">
        <v>0</v>
      </c>
      <c r="P42" s="8">
        <f>G42-N42</f>
        <v>11316629</v>
      </c>
      <c r="Q42" s="8">
        <f>K42-M42-O42</f>
        <v>17786827.029633664</v>
      </c>
      <c r="R42" s="8">
        <f t="shared" si="2"/>
        <v>29103456.029633664</v>
      </c>
    </row>
    <row r="43" spans="1:18" x14ac:dyDescent="0.25">
      <c r="A43" s="5" t="s">
        <v>43</v>
      </c>
      <c r="B43" s="5" t="s">
        <v>190</v>
      </c>
      <c r="C43" s="6">
        <v>36.266001000000003</v>
      </c>
      <c r="D43" s="7">
        <f>VLOOKUP(A43,'Costdrivere 2025'!$A$2:$AF$86,28,FALSE)</f>
        <v>1.4715959373693825E-2</v>
      </c>
      <c r="E43" s="8">
        <f>SUMPRODUCT(('Costdrivere 2025'!$A$3:$A$95=A43)*'Costdrivere 2025'!$C$3:$G$95)</f>
        <v>7918584.9320430942</v>
      </c>
      <c r="F43" s="8">
        <f>VLOOKUP(A43,'Costdrivere 2025'!$A$2:$AF$86,32,FALSE)</f>
        <v>17876868.496726491</v>
      </c>
      <c r="G43" s="8">
        <v>8101611</v>
      </c>
      <c r="H43" s="8">
        <v>12581951.140000001</v>
      </c>
      <c r="I43" s="8">
        <v>577371</v>
      </c>
      <c r="J43" s="8">
        <v>3595288.9443897046</v>
      </c>
      <c r="K43" s="8">
        <f t="shared" si="3"/>
        <v>16754611.084389705</v>
      </c>
      <c r="L43" s="8">
        <f t="shared" si="4"/>
        <v>24856222.084389705</v>
      </c>
      <c r="M43" s="8">
        <v>0</v>
      </c>
      <c r="N43" s="8">
        <v>0</v>
      </c>
      <c r="O43" s="8">
        <v>0</v>
      </c>
      <c r="P43" s="8">
        <f>G43-N43</f>
        <v>8101611</v>
      </c>
      <c r="Q43" s="8">
        <f>K43-M43-O43</f>
        <v>16754611.084389705</v>
      </c>
      <c r="R43" s="8">
        <f t="shared" si="2"/>
        <v>24856222.084389705</v>
      </c>
    </row>
    <row r="44" spans="1:18" x14ac:dyDescent="0.25">
      <c r="A44" s="5" t="s">
        <v>44</v>
      </c>
      <c r="B44" s="5" t="s">
        <v>191</v>
      </c>
      <c r="C44" s="6">
        <v>38.199663000000001</v>
      </c>
      <c r="D44" s="7">
        <f>VLOOKUP(A44,'Costdrivere 2025'!$A$2:$AF$86,28,FALSE)</f>
        <v>2.2194648817741736E-2</v>
      </c>
      <c r="E44" s="8">
        <f>SUMPRODUCT(('Costdrivere 2025'!$A$3:$A$95=A44)*'Costdrivere 2025'!$C$3:$G$95)</f>
        <v>8850418.9669768605</v>
      </c>
      <c r="F44" s="8">
        <f>VLOOKUP(A44,'Costdrivere 2025'!$A$2:$AF$86,32,FALSE)</f>
        <v>22703578.188625328</v>
      </c>
      <c r="G44" s="8">
        <v>14586667</v>
      </c>
      <c r="H44" s="8">
        <v>14674360.84</v>
      </c>
      <c r="I44" s="8">
        <v>1836402</v>
      </c>
      <c r="J44" s="8">
        <v>11219792.421466181</v>
      </c>
      <c r="K44" s="8">
        <f t="shared" si="3"/>
        <v>27730555.261466183</v>
      </c>
      <c r="L44" s="8">
        <f t="shared" si="4"/>
        <v>42317222.261466183</v>
      </c>
      <c r="M44" s="8">
        <v>0</v>
      </c>
      <c r="N44" s="8">
        <v>0</v>
      </c>
      <c r="O44" s="8">
        <v>0</v>
      </c>
      <c r="P44" s="8">
        <f>G44-N44</f>
        <v>14586667</v>
      </c>
      <c r="Q44" s="8">
        <f>K44-M44-O44</f>
        <v>27730555.261466183</v>
      </c>
      <c r="R44" s="8">
        <f t="shared" si="2"/>
        <v>42317222.261466183</v>
      </c>
    </row>
    <row r="45" spans="1:18" x14ac:dyDescent="0.25">
      <c r="A45" s="5" t="s">
        <v>45</v>
      </c>
      <c r="B45" s="5" t="s">
        <v>192</v>
      </c>
      <c r="C45" s="6">
        <v>34.660894999999996</v>
      </c>
      <c r="D45" s="7">
        <f>VLOOKUP(A45,'Costdrivere 2025'!$A$2:$AF$86,28,FALSE)</f>
        <v>0.12289977557168563</v>
      </c>
      <c r="E45" s="8">
        <f>SUMPRODUCT(('Costdrivere 2025'!$A$3:$A$95=A45)*'Costdrivere 2025'!$C$3:$G$95)</f>
        <v>10424574.62425193</v>
      </c>
      <c r="F45" s="8">
        <f>VLOOKUP(A45,'Costdrivere 2025'!$A$2:$AF$86,32,FALSE)</f>
        <v>14713012.954577981</v>
      </c>
      <c r="G45" s="8">
        <v>17517562</v>
      </c>
      <c r="H45" s="8">
        <v>5456747.54</v>
      </c>
      <c r="I45" s="8">
        <v>6678569</v>
      </c>
      <c r="J45" s="8">
        <v>14565396.030031947</v>
      </c>
      <c r="K45" s="8">
        <f t="shared" si="3"/>
        <v>26700712.570031948</v>
      </c>
      <c r="L45" s="8">
        <f t="shared" si="4"/>
        <v>44218274.570031948</v>
      </c>
      <c r="M45" s="8">
        <v>0</v>
      </c>
      <c r="N45" s="8">
        <v>0</v>
      </c>
      <c r="O45" s="8">
        <v>0</v>
      </c>
      <c r="P45" s="8">
        <f>G45-N45</f>
        <v>17517562</v>
      </c>
      <c r="Q45" s="8">
        <f>K45-M45-O45</f>
        <v>26700712.570031948</v>
      </c>
      <c r="R45" s="8">
        <f t="shared" si="2"/>
        <v>44218274.570031948</v>
      </c>
    </row>
    <row r="46" spans="1:18" x14ac:dyDescent="0.25">
      <c r="A46" s="5" t="s">
        <v>46</v>
      </c>
      <c r="B46" s="5" t="s">
        <v>193</v>
      </c>
      <c r="C46" s="6">
        <v>35.712468000000001</v>
      </c>
      <c r="D46" s="7">
        <f>VLOOKUP(A46,'Costdrivere 2025'!$A$2:$AF$86,28,FALSE)</f>
        <v>2.9703183213534975E-2</v>
      </c>
      <c r="E46" s="8">
        <f>SUMPRODUCT(('Costdrivere 2025'!$A$3:$A$95=A46)*'Costdrivere 2025'!$C$3:$G$95)</f>
        <v>5564024.3334375266</v>
      </c>
      <c r="F46" s="8">
        <f>VLOOKUP(A46,'Costdrivere 2025'!$A$2:$AF$86,32,FALSE)</f>
        <v>10242195.78320599</v>
      </c>
      <c r="G46" s="8">
        <v>6638333</v>
      </c>
      <c r="H46" s="8">
        <v>5390221.6299999999</v>
      </c>
      <c r="I46" s="8">
        <v>680500</v>
      </c>
      <c r="J46" s="8">
        <v>2616947.7205585507</v>
      </c>
      <c r="K46" s="8">
        <f t="shared" si="3"/>
        <v>8687669.350558551</v>
      </c>
      <c r="L46" s="8">
        <f t="shared" si="4"/>
        <v>15326002.350558551</v>
      </c>
      <c r="M46" s="8">
        <v>0</v>
      </c>
      <c r="N46" s="8">
        <v>0</v>
      </c>
      <c r="O46" s="8">
        <v>0</v>
      </c>
      <c r="P46" s="8">
        <f>G46-N46</f>
        <v>6638333</v>
      </c>
      <c r="Q46" s="8">
        <f>K46-M46-O46</f>
        <v>8687669.350558551</v>
      </c>
      <c r="R46" s="8">
        <f t="shared" si="2"/>
        <v>15326002.350558551</v>
      </c>
    </row>
    <row r="47" spans="1:18" x14ac:dyDescent="0.25">
      <c r="A47" s="5" t="s">
        <v>47</v>
      </c>
      <c r="B47" s="5" t="s">
        <v>140</v>
      </c>
      <c r="C47" s="6">
        <v>36.578617000000001</v>
      </c>
      <c r="D47" s="7">
        <f>VLOOKUP(A47,'Costdrivere 2025'!$A$2:$AF$86,28,FALSE)</f>
        <v>1.8926560061520367E-2</v>
      </c>
      <c r="E47" s="8">
        <f>SUMPRODUCT(('Costdrivere 2025'!$A$3:$A$95=A47)*'Costdrivere 2025'!$C$3:$G$95)</f>
        <v>6373908.0594443493</v>
      </c>
      <c r="F47" s="8">
        <f>VLOOKUP(A47,'Costdrivere 2025'!$A$2:$AF$86,32,FALSE)</f>
        <v>13632664.741019532</v>
      </c>
      <c r="G47" s="8">
        <v>10134389</v>
      </c>
      <c r="H47" s="8">
        <v>8995499.1999999993</v>
      </c>
      <c r="I47" s="8">
        <v>400343</v>
      </c>
      <c r="J47" s="8">
        <v>4299496.2737784246</v>
      </c>
      <c r="K47" s="8">
        <f t="shared" si="3"/>
        <v>13695338.473778423</v>
      </c>
      <c r="L47" s="8">
        <f t="shared" si="4"/>
        <v>23829727.473778423</v>
      </c>
      <c r="M47" s="8">
        <v>0</v>
      </c>
      <c r="N47" s="8">
        <v>0</v>
      </c>
      <c r="O47" s="8">
        <v>0</v>
      </c>
      <c r="P47" s="8">
        <f>G47-N47</f>
        <v>10134389</v>
      </c>
      <c r="Q47" s="8">
        <f>K47-M47-O47</f>
        <v>13695338.473778423</v>
      </c>
      <c r="R47" s="8">
        <f t="shared" si="2"/>
        <v>23829727.473778423</v>
      </c>
    </row>
    <row r="48" spans="1:18" x14ac:dyDescent="0.25">
      <c r="A48" s="5" t="s">
        <v>48</v>
      </c>
      <c r="B48" s="5" t="s">
        <v>194</v>
      </c>
      <c r="C48" s="6">
        <v>41.308962000000001</v>
      </c>
      <c r="D48" s="7">
        <f>VLOOKUP(A48,'Costdrivere 2025'!$A$2:$AF$86,28,FALSE)</f>
        <v>4.6251557419394046E-2</v>
      </c>
      <c r="E48" s="8">
        <f>SUMPRODUCT(('Costdrivere 2025'!$A$3:$A$95=A48)*'Costdrivere 2025'!$C$3:$G$95)</f>
        <v>5111008.590358044</v>
      </c>
      <c r="F48" s="8">
        <f>VLOOKUP(A48,'Costdrivere 2025'!$A$2:$AF$86,32,FALSE)</f>
        <v>6845753.8072719425</v>
      </c>
      <c r="G48" s="8">
        <v>9422601</v>
      </c>
      <c r="H48" s="8">
        <v>4298470.04</v>
      </c>
      <c r="I48" s="8">
        <v>488422</v>
      </c>
      <c r="J48" s="8">
        <v>3346248.443467556</v>
      </c>
      <c r="K48" s="8">
        <f t="shared" si="3"/>
        <v>8133140.4834675565</v>
      </c>
      <c r="L48" s="8">
        <f t="shared" si="4"/>
        <v>17555741.483467557</v>
      </c>
      <c r="M48" s="8">
        <v>0</v>
      </c>
      <c r="N48" s="8">
        <v>0</v>
      </c>
      <c r="O48" s="8">
        <v>0</v>
      </c>
      <c r="P48" s="8">
        <f>G48-N48</f>
        <v>9422601</v>
      </c>
      <c r="Q48" s="8">
        <f>K48-M48-O48</f>
        <v>8133140.4834675565</v>
      </c>
      <c r="R48" s="8">
        <f t="shared" si="2"/>
        <v>17555741.483467557</v>
      </c>
    </row>
    <row r="49" spans="1:18" x14ac:dyDescent="0.25">
      <c r="A49" s="5" t="s">
        <v>49</v>
      </c>
      <c r="B49" s="5" t="s">
        <v>195</v>
      </c>
      <c r="C49" s="6">
        <v>39.064132999999998</v>
      </c>
      <c r="D49" s="7">
        <f>VLOOKUP(A49,'Costdrivere 2025'!$A$2:$AF$86,28,FALSE)</f>
        <v>4.8006455708091228E-2</v>
      </c>
      <c r="E49" s="8">
        <f>SUMPRODUCT(('Costdrivere 2025'!$A$3:$A$95=A49)*'Costdrivere 2025'!$C$3:$G$95)</f>
        <v>11636548.254193023</v>
      </c>
      <c r="F49" s="8">
        <f>VLOOKUP(A49,'Costdrivere 2025'!$A$2:$AF$86,32,FALSE)</f>
        <v>29166008.545183718</v>
      </c>
      <c r="G49" s="8">
        <v>17170426</v>
      </c>
      <c r="H49" s="8">
        <v>10659993.33</v>
      </c>
      <c r="I49" s="8">
        <v>1390000</v>
      </c>
      <c r="J49" s="8">
        <v>11503090.072598701</v>
      </c>
      <c r="K49" s="8">
        <f t="shared" si="3"/>
        <v>23553083.402598701</v>
      </c>
      <c r="L49" s="8">
        <f t="shared" si="4"/>
        <v>40723509.402598701</v>
      </c>
      <c r="M49" s="8">
        <v>0</v>
      </c>
      <c r="N49" s="8">
        <v>0</v>
      </c>
      <c r="O49" s="8">
        <v>0</v>
      </c>
      <c r="P49" s="8">
        <f>G49-N49</f>
        <v>17170426</v>
      </c>
      <c r="Q49" s="8">
        <f>K49-M49-O49</f>
        <v>23553083.402598701</v>
      </c>
      <c r="R49" s="8">
        <f t="shared" si="2"/>
        <v>40723509.402598701</v>
      </c>
    </row>
    <row r="50" spans="1:18" x14ac:dyDescent="0.25">
      <c r="A50" s="5" t="s">
        <v>50</v>
      </c>
      <c r="B50" s="5" t="s">
        <v>141</v>
      </c>
      <c r="C50" s="6">
        <v>37.425282000000003</v>
      </c>
      <c r="D50" s="7">
        <f>VLOOKUP(A50,'Costdrivere 2025'!$A$2:$AF$86,28,FALSE)</f>
        <v>3.3781003709613816E-2</v>
      </c>
      <c r="E50" s="8">
        <f>SUMPRODUCT(('Costdrivere 2025'!$A$3:$A$95=A50)*'Costdrivere 2025'!$C$3:$G$95)</f>
        <v>4475284.1204690132</v>
      </c>
      <c r="F50" s="8">
        <f>VLOOKUP(A50,'Costdrivere 2025'!$A$2:$AF$86,32,FALSE)</f>
        <v>8658410.0409059171</v>
      </c>
      <c r="G50" s="8">
        <v>8584570</v>
      </c>
      <c r="H50" s="8">
        <v>5508534.5800000001</v>
      </c>
      <c r="I50" s="8">
        <v>0</v>
      </c>
      <c r="J50" s="8">
        <v>3358214.4349297131</v>
      </c>
      <c r="K50" s="8">
        <f t="shared" si="3"/>
        <v>8866749.0149297137</v>
      </c>
      <c r="L50" s="8">
        <f t="shared" si="4"/>
        <v>17451319.014929712</v>
      </c>
      <c r="M50" s="8">
        <v>0</v>
      </c>
      <c r="N50" s="8">
        <v>0</v>
      </c>
      <c r="O50" s="8">
        <v>0</v>
      </c>
      <c r="P50" s="8">
        <f>G50-N50</f>
        <v>8584570</v>
      </c>
      <c r="Q50" s="8">
        <f>K50-M50-O50</f>
        <v>8866749.0149297137</v>
      </c>
      <c r="R50" s="8">
        <f t="shared" si="2"/>
        <v>17451319.014929712</v>
      </c>
    </row>
    <row r="51" spans="1:18" x14ac:dyDescent="0.25">
      <c r="A51" s="5" t="s">
        <v>51</v>
      </c>
      <c r="B51" s="5" t="s">
        <v>142</v>
      </c>
      <c r="C51" s="6">
        <v>35.489474999999999</v>
      </c>
      <c r="D51" s="7">
        <f>VLOOKUP(A51,'Costdrivere 2025'!$A$2:$AF$86,28,FALSE)</f>
        <v>2.0445518146697459E-2</v>
      </c>
      <c r="E51" s="8">
        <f>SUMPRODUCT(('Costdrivere 2025'!$A$3:$A$95=A51)*'Costdrivere 2025'!$C$3:$G$95)</f>
        <v>14084017.239725851</v>
      </c>
      <c r="F51" s="8">
        <f>VLOOKUP(A51,'Costdrivere 2025'!$A$2:$AF$86,32,FALSE)</f>
        <v>37623711.51187174</v>
      </c>
      <c r="G51" s="8">
        <v>12777802</v>
      </c>
      <c r="H51" s="8">
        <v>23694705.73</v>
      </c>
      <c r="I51" s="8">
        <v>2533151</v>
      </c>
      <c r="J51" s="8">
        <v>15524563.319284169</v>
      </c>
      <c r="K51" s="8">
        <f t="shared" si="3"/>
        <v>41752420.049284168</v>
      </c>
      <c r="L51" s="8">
        <f t="shared" si="4"/>
        <v>54530222.049284168</v>
      </c>
      <c r="M51" s="8">
        <v>0</v>
      </c>
      <c r="N51" s="8">
        <v>0</v>
      </c>
      <c r="O51" s="8">
        <v>0</v>
      </c>
      <c r="P51" s="8">
        <f>G51-N51</f>
        <v>12777802</v>
      </c>
      <c r="Q51" s="8">
        <f>K51-M51-O51</f>
        <v>41752420.049284168</v>
      </c>
      <c r="R51" s="8">
        <f t="shared" si="2"/>
        <v>54530222.049284168</v>
      </c>
    </row>
    <row r="52" spans="1:18" x14ac:dyDescent="0.25">
      <c r="A52" s="5" t="s">
        <v>52</v>
      </c>
      <c r="B52" s="5" t="s">
        <v>143</v>
      </c>
      <c r="C52" s="6">
        <v>37.963380999999998</v>
      </c>
      <c r="D52" s="7">
        <f>VLOOKUP(A52,'Costdrivere 2025'!$A$2:$AF$86,28,FALSE)</f>
        <v>3.6542251904014694E-2</v>
      </c>
      <c r="E52" s="8">
        <f>SUMPRODUCT(('Costdrivere 2025'!$A$3:$A$95=A52)*'Costdrivere 2025'!$C$3:$G$95)</f>
        <v>6942442.9429755388</v>
      </c>
      <c r="F52" s="8">
        <f>VLOOKUP(A52,'Costdrivere 2025'!$A$2:$AF$86,32,FALSE)</f>
        <v>13098009.784155689</v>
      </c>
      <c r="G52" s="8">
        <v>7468549</v>
      </c>
      <c r="H52" s="8">
        <v>7526480.2300000004</v>
      </c>
      <c r="I52" s="8">
        <v>878251</v>
      </c>
      <c r="J52" s="8">
        <v>5726402.554753189</v>
      </c>
      <c r="K52" s="8">
        <f t="shared" si="3"/>
        <v>14131133.784753188</v>
      </c>
      <c r="L52" s="8">
        <f t="shared" si="4"/>
        <v>21599682.784753188</v>
      </c>
      <c r="M52" s="8">
        <v>0</v>
      </c>
      <c r="N52" s="8">
        <v>0</v>
      </c>
      <c r="O52" s="8">
        <v>0</v>
      </c>
      <c r="P52" s="8">
        <f>G52-N52</f>
        <v>7468549</v>
      </c>
      <c r="Q52" s="8">
        <f>K52-M52-O52</f>
        <v>14131133.784753188</v>
      </c>
      <c r="R52" s="8">
        <f t="shared" si="2"/>
        <v>21599682.784753188</v>
      </c>
    </row>
    <row r="53" spans="1:18" x14ac:dyDescent="0.25">
      <c r="A53" s="5" t="s">
        <v>54</v>
      </c>
      <c r="B53" s="5" t="s">
        <v>144</v>
      </c>
      <c r="C53" s="6">
        <v>36.076400999999997</v>
      </c>
      <c r="D53" s="7">
        <f>VLOOKUP(A53,'Costdrivere 2025'!$A$2:$AF$86,28,FALSE)</f>
        <v>9.3909236266217583E-2</v>
      </c>
      <c r="E53" s="8">
        <f>SUMPRODUCT(('Costdrivere 2025'!$A$3:$A$95=A53)*'Costdrivere 2025'!$C$3:$G$95)</f>
        <v>5808121.6521679852</v>
      </c>
      <c r="F53" s="8">
        <f>VLOOKUP(A53,'Costdrivere 2025'!$A$2:$AF$86,32,FALSE)</f>
        <v>10113868.672963886</v>
      </c>
      <c r="G53" s="8">
        <v>11047953</v>
      </c>
      <c r="H53" s="8">
        <v>4473245.97</v>
      </c>
      <c r="I53" s="8">
        <v>5086000</v>
      </c>
      <c r="J53" s="8">
        <v>7715959.212522177</v>
      </c>
      <c r="K53" s="8">
        <f t="shared" si="3"/>
        <v>17275205.182522178</v>
      </c>
      <c r="L53" s="8">
        <f t="shared" si="4"/>
        <v>28323158.182522178</v>
      </c>
      <c r="M53" s="8">
        <v>0</v>
      </c>
      <c r="N53" s="8">
        <v>0</v>
      </c>
      <c r="O53" s="8">
        <v>0</v>
      </c>
      <c r="P53" s="8">
        <f>G53-N53</f>
        <v>11047953</v>
      </c>
      <c r="Q53" s="8">
        <f>K53-M53-O53</f>
        <v>17275205.182522178</v>
      </c>
      <c r="R53" s="8">
        <f t="shared" si="2"/>
        <v>28323158.182522178</v>
      </c>
    </row>
    <row r="54" spans="1:18" x14ac:dyDescent="0.25">
      <c r="A54" s="5" t="s">
        <v>55</v>
      </c>
      <c r="B54" s="5" t="s">
        <v>196</v>
      </c>
      <c r="C54" s="6">
        <v>42.027251999999997</v>
      </c>
      <c r="D54" s="7">
        <f>VLOOKUP(A54,'Costdrivere 2025'!$A$2:$AF$86,28,FALSE)</f>
        <v>4.9883796798076044E-2</v>
      </c>
      <c r="E54" s="8">
        <f>SUMPRODUCT(('Costdrivere 2025'!$A$3:$A$95=A54)*'Costdrivere 2025'!$C$3:$G$95)</f>
        <v>4705762.6693112003</v>
      </c>
      <c r="F54" s="8">
        <f>VLOOKUP(A54,'Costdrivere 2025'!$A$2:$AF$86,32,FALSE)</f>
        <v>7252379.2783471337</v>
      </c>
      <c r="G54" s="8">
        <v>8437124</v>
      </c>
      <c r="H54" s="8">
        <v>5199739.49</v>
      </c>
      <c r="I54" s="8">
        <v>69916</v>
      </c>
      <c r="J54" s="8">
        <v>1685044.8509140157</v>
      </c>
      <c r="K54" s="8">
        <f t="shared" si="3"/>
        <v>6954700.3409140157</v>
      </c>
      <c r="L54" s="8">
        <f t="shared" si="4"/>
        <v>15391824.340914015</v>
      </c>
      <c r="M54" s="8">
        <v>0</v>
      </c>
      <c r="N54" s="8">
        <v>0</v>
      </c>
      <c r="O54" s="8">
        <v>0</v>
      </c>
      <c r="P54" s="8">
        <f>G54-N54</f>
        <v>8437124</v>
      </c>
      <c r="Q54" s="8">
        <f>K54-M54-O54</f>
        <v>6954700.3409140157</v>
      </c>
      <c r="R54" s="8">
        <f t="shared" si="2"/>
        <v>15391824.340914015</v>
      </c>
    </row>
    <row r="55" spans="1:18" x14ac:dyDescent="0.25">
      <c r="A55" s="5" t="s">
        <v>56</v>
      </c>
      <c r="B55" s="5" t="s">
        <v>197</v>
      </c>
      <c r="C55" s="6">
        <v>33.061912</v>
      </c>
      <c r="D55" s="7">
        <f>VLOOKUP(A55,'Costdrivere 2025'!$A$2:$AF$86,28,FALSE)</f>
        <v>5.8356085644044223E-2</v>
      </c>
      <c r="E55" s="8">
        <f>SUMPRODUCT(('Costdrivere 2025'!$A$3:$A$95=A55)*'Costdrivere 2025'!$C$3:$G$95)</f>
        <v>13150622.080928344</v>
      </c>
      <c r="F55" s="8">
        <f>VLOOKUP(A55,'Costdrivere 2025'!$A$2:$AF$86,32,FALSE)</f>
        <v>24694200.954272527</v>
      </c>
      <c r="G55" s="8">
        <v>18690407</v>
      </c>
      <c r="H55" s="8">
        <v>13596628.58</v>
      </c>
      <c r="I55" s="8">
        <v>488807</v>
      </c>
      <c r="J55" s="8">
        <v>9286896.2640950661</v>
      </c>
      <c r="K55" s="8">
        <f t="shared" si="3"/>
        <v>23372331.844095066</v>
      </c>
      <c r="L55" s="8">
        <f t="shared" si="4"/>
        <v>42062738.844095066</v>
      </c>
      <c r="M55" s="8">
        <v>0</v>
      </c>
      <c r="N55" s="8">
        <v>0</v>
      </c>
      <c r="O55" s="8">
        <v>0</v>
      </c>
      <c r="P55" s="8">
        <f>G55-N55</f>
        <v>18690407</v>
      </c>
      <c r="Q55" s="8">
        <f>K55-M55-O55</f>
        <v>23372331.844095066</v>
      </c>
      <c r="R55" s="8">
        <f t="shared" si="2"/>
        <v>42062738.844095066</v>
      </c>
    </row>
    <row r="56" spans="1:18" x14ac:dyDescent="0.25">
      <c r="A56" s="5" t="s">
        <v>57</v>
      </c>
      <c r="B56" s="5" t="s">
        <v>145</v>
      </c>
      <c r="C56" s="6">
        <v>41.983687000000003</v>
      </c>
      <c r="D56" s="7">
        <f>VLOOKUP(A56,'Costdrivere 2025'!$A$2:$AF$86,28,FALSE)</f>
        <v>0</v>
      </c>
      <c r="E56" s="8">
        <f>SUMPRODUCT(('Costdrivere 2025'!$A$3:$A$95=A56)*'Costdrivere 2025'!$C$3:$G$95)</f>
        <v>18560611.048819397</v>
      </c>
      <c r="F56" s="8">
        <f>VLOOKUP(A56,'Costdrivere 2025'!$A$2:$AF$86,32,FALSE)</f>
        <v>12301185.240552027</v>
      </c>
      <c r="G56" s="8">
        <v>18349013</v>
      </c>
      <c r="H56" s="8">
        <v>2972825.46</v>
      </c>
      <c r="I56" s="8">
        <v>2320000</v>
      </c>
      <c r="J56" s="8">
        <v>6837905.1737071481</v>
      </c>
      <c r="K56" s="8">
        <f t="shared" si="3"/>
        <v>12130730.633707147</v>
      </c>
      <c r="L56" s="8">
        <f t="shared" si="4"/>
        <v>30479743.633707147</v>
      </c>
      <c r="M56" s="8">
        <v>0</v>
      </c>
      <c r="N56" s="8">
        <v>0</v>
      </c>
      <c r="O56" s="8">
        <v>0</v>
      </c>
      <c r="P56" s="8">
        <f>G56-N56</f>
        <v>18349013</v>
      </c>
      <c r="Q56" s="8">
        <f>K56-M56-O56</f>
        <v>12130730.633707147</v>
      </c>
      <c r="R56" s="8">
        <f t="shared" si="2"/>
        <v>30479743.633707147</v>
      </c>
    </row>
    <row r="57" spans="1:18" x14ac:dyDescent="0.25">
      <c r="A57" s="5" t="s">
        <v>58</v>
      </c>
      <c r="B57" s="5" t="s">
        <v>198</v>
      </c>
      <c r="C57" s="6">
        <v>37.129308999999999</v>
      </c>
      <c r="D57" s="7">
        <f>VLOOKUP(A57,'Costdrivere 2025'!$A$2:$AF$86,28,FALSE)</f>
        <v>3.4798754970012183E-2</v>
      </c>
      <c r="E57" s="8">
        <f>SUMPRODUCT(('Costdrivere 2025'!$A$3:$A$95=A57)*'Costdrivere 2025'!$C$3:$G$95)</f>
        <v>17343909.594017189</v>
      </c>
      <c r="F57" s="8">
        <f>VLOOKUP(A57,'Costdrivere 2025'!$A$2:$AF$86,32,FALSE)</f>
        <v>32417251.295558259</v>
      </c>
      <c r="G57" s="8">
        <v>31669126</v>
      </c>
      <c r="H57" s="8">
        <v>17961836.379999999</v>
      </c>
      <c r="I57" s="8">
        <v>241557</v>
      </c>
      <c r="J57" s="8">
        <v>13228801.389204875</v>
      </c>
      <c r="K57" s="8">
        <f t="shared" si="3"/>
        <v>31432194.769204874</v>
      </c>
      <c r="L57" s="8">
        <f t="shared" si="4"/>
        <v>63101320.76920487</v>
      </c>
      <c r="M57" s="8">
        <v>0</v>
      </c>
      <c r="N57" s="8">
        <v>0</v>
      </c>
      <c r="O57" s="8">
        <v>0</v>
      </c>
      <c r="P57" s="8">
        <f>G57-N57</f>
        <v>31669126</v>
      </c>
      <c r="Q57" s="8">
        <f>K57-M57-O57</f>
        <v>31432194.769204874</v>
      </c>
      <c r="R57" s="8">
        <f t="shared" si="2"/>
        <v>63101320.76920487</v>
      </c>
    </row>
    <row r="58" spans="1:18" x14ac:dyDescent="0.25">
      <c r="A58" s="5" t="s">
        <v>59</v>
      </c>
      <c r="B58" s="5" t="s">
        <v>146</v>
      </c>
      <c r="C58" s="6">
        <v>35.400658999999997</v>
      </c>
      <c r="D58" s="7">
        <f>VLOOKUP(A58,'Costdrivere 2025'!$A$2:$AF$86,28,FALSE)</f>
        <v>4.7888495142293951E-2</v>
      </c>
      <c r="E58" s="8">
        <f>SUMPRODUCT(('Costdrivere 2025'!$A$3:$A$95=A58)*'Costdrivere 2025'!$C$3:$G$95)</f>
        <v>5902092.3510493087</v>
      </c>
      <c r="F58" s="8">
        <f>VLOOKUP(A58,'Costdrivere 2025'!$A$2:$AF$86,32,FALSE)</f>
        <v>9777987.7058137413</v>
      </c>
      <c r="G58" s="8">
        <v>7996468</v>
      </c>
      <c r="H58" s="8">
        <v>5050274.8099999996</v>
      </c>
      <c r="I58" s="8">
        <v>1523435</v>
      </c>
      <c r="J58" s="8">
        <v>4883099.7929042196</v>
      </c>
      <c r="K58" s="8">
        <f t="shared" si="3"/>
        <v>11456809.602904219</v>
      </c>
      <c r="L58" s="8">
        <f t="shared" si="4"/>
        <v>19453277.602904219</v>
      </c>
      <c r="M58" s="8">
        <v>0</v>
      </c>
      <c r="N58" s="8">
        <v>0</v>
      </c>
      <c r="O58" s="8">
        <v>0</v>
      </c>
      <c r="P58" s="8">
        <f>G58-N58</f>
        <v>7996468</v>
      </c>
      <c r="Q58" s="8">
        <f>K58-M58-O58</f>
        <v>11456809.602904219</v>
      </c>
      <c r="R58" s="8">
        <f t="shared" si="2"/>
        <v>19453277.602904219</v>
      </c>
    </row>
    <row r="59" spans="1:18" x14ac:dyDescent="0.25">
      <c r="A59" s="5" t="s">
        <v>60</v>
      </c>
      <c r="B59" s="5" t="s">
        <v>199</v>
      </c>
      <c r="C59" s="6">
        <v>37.239738000000003</v>
      </c>
      <c r="D59" s="7">
        <f>VLOOKUP(A59,'Costdrivere 2025'!$A$2:$AF$86,28,FALSE)</f>
        <v>2.412035959073671E-2</v>
      </c>
      <c r="E59" s="8">
        <f>SUMPRODUCT(('Costdrivere 2025'!$A$3:$A$95=A59)*'Costdrivere 2025'!$C$3:$G$95)</f>
        <v>10433583.519747665</v>
      </c>
      <c r="F59" s="8">
        <f>VLOOKUP(A59,'Costdrivere 2025'!$A$2:$AF$86,32,FALSE)</f>
        <v>20117365.434684616</v>
      </c>
      <c r="G59" s="8">
        <v>10609775</v>
      </c>
      <c r="H59" s="8">
        <v>12178582.73</v>
      </c>
      <c r="I59" s="8">
        <v>1954434</v>
      </c>
      <c r="J59" s="8">
        <v>9783615.065165313</v>
      </c>
      <c r="K59" s="8">
        <f t="shared" si="3"/>
        <v>23916631.795165315</v>
      </c>
      <c r="L59" s="8">
        <f t="shared" si="4"/>
        <v>34526406.795165315</v>
      </c>
      <c r="M59" s="8">
        <v>0</v>
      </c>
      <c r="N59" s="8">
        <v>0</v>
      </c>
      <c r="O59" s="8">
        <v>0</v>
      </c>
      <c r="P59" s="8">
        <f>G59-N59</f>
        <v>10609775</v>
      </c>
      <c r="Q59" s="8">
        <f>K59-M59-O59</f>
        <v>23916631.795165315</v>
      </c>
      <c r="R59" s="8">
        <f t="shared" si="2"/>
        <v>34526406.795165315</v>
      </c>
    </row>
    <row r="60" spans="1:18" x14ac:dyDescent="0.25">
      <c r="A60" s="5" t="s">
        <v>61</v>
      </c>
      <c r="B60" s="5" t="s">
        <v>147</v>
      </c>
      <c r="C60" s="6">
        <v>34.875639</v>
      </c>
      <c r="D60" s="7">
        <f>VLOOKUP(A60,'Costdrivere 2025'!$A$2:$AF$86,28,FALSE)</f>
        <v>2.6495035226021455E-2</v>
      </c>
      <c r="E60" s="8">
        <f>SUMPRODUCT(('Costdrivere 2025'!$A$3:$A$95=A60)*'Costdrivere 2025'!$C$3:$G$95)</f>
        <v>4610946.8936267905</v>
      </c>
      <c r="F60" s="8">
        <f>VLOOKUP(A60,'Costdrivere 2025'!$A$2:$AF$86,32,FALSE)</f>
        <v>7806564.6497440804</v>
      </c>
      <c r="G60" s="8">
        <v>8125506</v>
      </c>
      <c r="H60" s="8">
        <v>5468699.4699999997</v>
      </c>
      <c r="I60" s="8">
        <v>178491</v>
      </c>
      <c r="J60" s="8">
        <v>2521237.9462585258</v>
      </c>
      <c r="K60" s="8">
        <f t="shared" si="3"/>
        <v>8168428.4162585251</v>
      </c>
      <c r="L60" s="8">
        <f t="shared" si="4"/>
        <v>16293934.416258525</v>
      </c>
      <c r="M60" s="8">
        <v>0</v>
      </c>
      <c r="N60" s="8">
        <v>0</v>
      </c>
      <c r="O60" s="8">
        <v>0</v>
      </c>
      <c r="P60" s="8">
        <f>G60-N60</f>
        <v>8125506</v>
      </c>
      <c r="Q60" s="8">
        <f>K60-M60-O60</f>
        <v>8168428.4162585251</v>
      </c>
      <c r="R60" s="8">
        <f t="shared" si="2"/>
        <v>16293934.416258525</v>
      </c>
    </row>
    <row r="61" spans="1:18" x14ac:dyDescent="0.25">
      <c r="A61" s="5" t="s">
        <v>62</v>
      </c>
      <c r="B61" s="5" t="s">
        <v>200</v>
      </c>
      <c r="C61" s="6">
        <v>36.355927000000001</v>
      </c>
      <c r="D61" s="7">
        <f>VLOOKUP(A61,'Costdrivere 2025'!$A$2:$AF$86,28,FALSE)</f>
        <v>4.3859753898047575E-2</v>
      </c>
      <c r="E61" s="8">
        <f>SUMPRODUCT(('Costdrivere 2025'!$A$3:$A$95=A61)*'Costdrivere 2025'!$C$3:$G$95)</f>
        <v>8696371.5255433097</v>
      </c>
      <c r="F61" s="8">
        <f>VLOOKUP(A61,'Costdrivere 2025'!$A$2:$AF$86,32,FALSE)</f>
        <v>18544192.077732746</v>
      </c>
      <c r="G61" s="8">
        <v>14604189</v>
      </c>
      <c r="H61" s="8">
        <v>11137249.73</v>
      </c>
      <c r="I61" s="8">
        <v>4644000</v>
      </c>
      <c r="J61" s="8">
        <v>7194172.4962882092</v>
      </c>
      <c r="K61" s="8">
        <f t="shared" si="3"/>
        <v>22975422.226288211</v>
      </c>
      <c r="L61" s="8">
        <f t="shared" si="4"/>
        <v>37579611.226288214</v>
      </c>
      <c r="M61" s="8">
        <v>0</v>
      </c>
      <c r="N61" s="8">
        <v>0</v>
      </c>
      <c r="O61" s="8">
        <v>0</v>
      </c>
      <c r="P61" s="8">
        <f>G61-N61</f>
        <v>14604189</v>
      </c>
      <c r="Q61" s="8">
        <f>K61-M61-O61</f>
        <v>22975422.226288211</v>
      </c>
      <c r="R61" s="8">
        <f t="shared" si="2"/>
        <v>37579611.226288214</v>
      </c>
    </row>
    <row r="62" spans="1:18" x14ac:dyDescent="0.25">
      <c r="A62" s="5" t="s">
        <v>63</v>
      </c>
      <c r="B62" s="5" t="s">
        <v>201</v>
      </c>
      <c r="C62" s="6">
        <v>37.783718</v>
      </c>
      <c r="D62" s="7">
        <f>VLOOKUP(A62,'Costdrivere 2025'!$A$2:$AF$86,28,FALSE)</f>
        <v>4.4845728493631928E-2</v>
      </c>
      <c r="E62" s="8">
        <f>SUMPRODUCT(('Costdrivere 2025'!$A$3:$A$95=A62)*'Costdrivere 2025'!$C$3:$G$95)</f>
        <v>9817146.0861090086</v>
      </c>
      <c r="F62" s="8">
        <f>VLOOKUP(A62,'Costdrivere 2025'!$A$2:$AF$86,32,FALSE)</f>
        <v>17752385.466958217</v>
      </c>
      <c r="G62" s="8">
        <v>10296705</v>
      </c>
      <c r="H62" s="8">
        <v>11004370.17</v>
      </c>
      <c r="I62" s="8">
        <v>649000</v>
      </c>
      <c r="J62" s="8">
        <v>8028844.8458004044</v>
      </c>
      <c r="K62" s="8">
        <f t="shared" si="3"/>
        <v>19682215.015800405</v>
      </c>
      <c r="L62" s="8">
        <f t="shared" si="4"/>
        <v>29978920.015800405</v>
      </c>
      <c r="M62" s="8">
        <v>0</v>
      </c>
      <c r="N62" s="8">
        <v>0</v>
      </c>
      <c r="O62" s="8">
        <v>0</v>
      </c>
      <c r="P62" s="8">
        <f>G62-N62</f>
        <v>10296705</v>
      </c>
      <c r="Q62" s="8">
        <f>K62-M62-O62</f>
        <v>19682215.015800405</v>
      </c>
      <c r="R62" s="8">
        <f t="shared" si="2"/>
        <v>29978920.015800405</v>
      </c>
    </row>
    <row r="63" spans="1:18" x14ac:dyDescent="0.25">
      <c r="A63" s="5" t="s">
        <v>64</v>
      </c>
      <c r="B63" s="5" t="s">
        <v>202</v>
      </c>
      <c r="C63" s="6">
        <v>38.638128999999999</v>
      </c>
      <c r="D63" s="7">
        <f>VLOOKUP(A63,'Costdrivere 2025'!$A$2:$AF$86,28,FALSE)</f>
        <v>2.0679365646528808E-2</v>
      </c>
      <c r="E63" s="8">
        <f>SUMPRODUCT(('Costdrivere 2025'!$A$3:$A$95=A63)*'Costdrivere 2025'!$C$3:$G$95)</f>
        <v>11071129.426232709</v>
      </c>
      <c r="F63" s="8">
        <f>VLOOKUP(A63,'Costdrivere 2025'!$A$2:$AF$86,32,FALSE)</f>
        <v>23322821.448477793</v>
      </c>
      <c r="G63" s="8">
        <v>15507299</v>
      </c>
      <c r="H63" s="8">
        <v>14160171.390000001</v>
      </c>
      <c r="I63" s="8">
        <v>1095895</v>
      </c>
      <c r="J63" s="8">
        <v>6786288.9238810241</v>
      </c>
      <c r="K63" s="8">
        <f t="shared" si="3"/>
        <v>22042355.313881025</v>
      </c>
      <c r="L63" s="8">
        <f t="shared" si="4"/>
        <v>37549654.313881025</v>
      </c>
      <c r="M63" s="8">
        <v>0</v>
      </c>
      <c r="N63" s="8">
        <v>0</v>
      </c>
      <c r="O63" s="8">
        <v>0</v>
      </c>
      <c r="P63" s="8">
        <f>G63-N63</f>
        <v>15507299</v>
      </c>
      <c r="Q63" s="8">
        <f>K63-M63-O63</f>
        <v>22042355.313881025</v>
      </c>
      <c r="R63" s="8">
        <f t="shared" si="2"/>
        <v>37549654.313881025</v>
      </c>
    </row>
    <row r="64" spans="1:18" x14ac:dyDescent="0.25">
      <c r="A64" s="5" t="s">
        <v>65</v>
      </c>
      <c r="B64" s="5" t="s">
        <v>203</v>
      </c>
      <c r="C64" s="6">
        <v>33.189217999999997</v>
      </c>
      <c r="D64" s="7">
        <f>VLOOKUP(A64,'Costdrivere 2025'!$A$2:$AF$86,28,FALSE)</f>
        <v>7.8917575517566438E-2</v>
      </c>
      <c r="E64" s="8">
        <f>SUMPRODUCT(('Costdrivere 2025'!$A$3:$A$95=A64)*'Costdrivere 2025'!$C$3:$G$95)</f>
        <v>39924078.190315619</v>
      </c>
      <c r="F64" s="8">
        <f>VLOOKUP(A64,'Costdrivere 2025'!$A$2:$AF$86,32,FALSE)</f>
        <v>65221761.903273419</v>
      </c>
      <c r="G64" s="8">
        <v>93638519</v>
      </c>
      <c r="H64" s="8">
        <v>37017740.380000003</v>
      </c>
      <c r="I64" s="8">
        <v>7733000</v>
      </c>
      <c r="J64" s="8">
        <v>42507107.965640351</v>
      </c>
      <c r="K64" s="8">
        <f t="shared" si="3"/>
        <v>87257848.345640361</v>
      </c>
      <c r="L64" s="8">
        <f t="shared" si="4"/>
        <v>180896367.34564036</v>
      </c>
      <c r="M64" s="8">
        <v>0</v>
      </c>
      <c r="N64" s="8">
        <v>0</v>
      </c>
      <c r="O64" s="8">
        <v>0</v>
      </c>
      <c r="P64" s="8">
        <f>G64-N64</f>
        <v>93638519</v>
      </c>
      <c r="Q64" s="8">
        <f>K64-M64-O64</f>
        <v>87257848.345640361</v>
      </c>
      <c r="R64" s="8">
        <f t="shared" si="2"/>
        <v>180896367.34564036</v>
      </c>
    </row>
    <row r="65" spans="1:18" x14ac:dyDescent="0.25">
      <c r="A65" s="5" t="s">
        <v>66</v>
      </c>
      <c r="B65" s="5" t="s">
        <v>204</v>
      </c>
      <c r="C65" s="6">
        <v>40.163784999999997</v>
      </c>
      <c r="D65" s="7">
        <f>VLOOKUP(A65,'Costdrivere 2025'!$A$2:$AF$86,28,FALSE)</f>
        <v>1.7236368072799296E-2</v>
      </c>
      <c r="E65" s="8">
        <f>SUMPRODUCT(('Costdrivere 2025'!$A$3:$A$95=A65)*'Costdrivere 2025'!$C$3:$G$95)</f>
        <v>6482387.2867593234</v>
      </c>
      <c r="F65" s="8">
        <f>VLOOKUP(A65,'Costdrivere 2025'!$A$2:$AF$86,32,FALSE)</f>
        <v>21737796.41909856</v>
      </c>
      <c r="G65" s="8">
        <v>11441865</v>
      </c>
      <c r="H65" s="8">
        <v>9133398.3300000001</v>
      </c>
      <c r="I65" s="8">
        <v>941000</v>
      </c>
      <c r="J65" s="8">
        <v>4709455.5388963539</v>
      </c>
      <c r="K65" s="8">
        <f t="shared" si="3"/>
        <v>14783853.868896354</v>
      </c>
      <c r="L65" s="8">
        <f t="shared" si="4"/>
        <v>26225718.868896354</v>
      </c>
      <c r="M65" s="8">
        <v>0</v>
      </c>
      <c r="N65" s="8">
        <v>0</v>
      </c>
      <c r="O65" s="8">
        <v>0</v>
      </c>
      <c r="P65" s="8">
        <f>G65-N65</f>
        <v>11441865</v>
      </c>
      <c r="Q65" s="8">
        <f>K65-M65-O65</f>
        <v>14783853.868896354</v>
      </c>
      <c r="R65" s="8">
        <f t="shared" si="2"/>
        <v>26225718.868896354</v>
      </c>
    </row>
    <row r="66" spans="1:18" x14ac:dyDescent="0.25">
      <c r="A66" s="5" t="s">
        <v>67</v>
      </c>
      <c r="B66" s="5" t="s">
        <v>148</v>
      </c>
      <c r="C66" s="6">
        <v>45.675359999999998</v>
      </c>
      <c r="D66" s="7">
        <f>VLOOKUP(A66,'Costdrivere 2025'!$A$2:$AF$86,28,FALSE)</f>
        <v>0.1178648606650203</v>
      </c>
      <c r="E66" s="8">
        <f>SUMPRODUCT(('Costdrivere 2025'!$A$3:$A$95=A66)*'Costdrivere 2025'!$C$3:$G$95)</f>
        <v>5449840.7778787408</v>
      </c>
      <c r="F66" s="8">
        <f>VLOOKUP(A66,'Costdrivere 2025'!$A$2:$AF$86,32,FALSE)</f>
        <v>8827075.0095454194</v>
      </c>
      <c r="G66" s="8">
        <v>14770271</v>
      </c>
      <c r="H66" s="8">
        <v>4993431.9000000004</v>
      </c>
      <c r="I66" s="8">
        <v>1935955</v>
      </c>
      <c r="J66" s="8">
        <v>4828928.1930312794</v>
      </c>
      <c r="K66" s="8">
        <f t="shared" ref="K66:K76" si="5">SUM(H66:J66)</f>
        <v>11758315.09303128</v>
      </c>
      <c r="L66" s="8">
        <f t="shared" si="4"/>
        <v>26528586.09303128</v>
      </c>
      <c r="M66" s="8">
        <v>0</v>
      </c>
      <c r="N66" s="8">
        <v>0</v>
      </c>
      <c r="O66" s="8">
        <v>0</v>
      </c>
      <c r="P66" s="8">
        <f>G66-N66</f>
        <v>14770271</v>
      </c>
      <c r="Q66" s="8">
        <f>K66-M66-O66</f>
        <v>11758315.09303128</v>
      </c>
      <c r="R66" s="8">
        <f t="shared" si="2"/>
        <v>26528586.09303128</v>
      </c>
    </row>
    <row r="67" spans="1:18" x14ac:dyDescent="0.25">
      <c r="A67" s="5" t="s">
        <v>68</v>
      </c>
      <c r="B67" s="5" t="s">
        <v>149</v>
      </c>
      <c r="C67" s="6">
        <v>35.249910999999997</v>
      </c>
      <c r="D67" s="7">
        <f>VLOOKUP(A67,'Costdrivere 2025'!$A$2:$AF$86,28,FALSE)</f>
        <v>0.13745422976278243</v>
      </c>
      <c r="E67" s="8">
        <f>SUMPRODUCT(('Costdrivere 2025'!$A$3:$A$95=A67)*'Costdrivere 2025'!$C$3:$G$95)</f>
        <v>7628996.5703847548</v>
      </c>
      <c r="F67" s="8">
        <f>VLOOKUP(A67,'Costdrivere 2025'!$A$2:$AF$86,32,FALSE)</f>
        <v>13967775.369013345</v>
      </c>
      <c r="G67" s="8">
        <v>14342369</v>
      </c>
      <c r="H67" s="8">
        <v>8675518.8300000001</v>
      </c>
      <c r="I67" s="8">
        <v>4911000</v>
      </c>
      <c r="J67" s="8">
        <v>8716050.441277964</v>
      </c>
      <c r="K67" s="8">
        <f t="shared" si="5"/>
        <v>22302569.271277964</v>
      </c>
      <c r="L67" s="8">
        <f t="shared" ref="L67:L76" si="6">G67+K67</f>
        <v>36644938.271277964</v>
      </c>
      <c r="M67" s="8">
        <v>0</v>
      </c>
      <c r="N67" s="8">
        <v>0</v>
      </c>
      <c r="O67" s="8">
        <v>0</v>
      </c>
      <c r="P67" s="8">
        <f>G67-N67</f>
        <v>14342369</v>
      </c>
      <c r="Q67" s="8">
        <f>K67-M67-O67</f>
        <v>22302569.271277964</v>
      </c>
      <c r="R67" s="8">
        <f t="shared" ref="R67:R75" si="7">P67+Q67</f>
        <v>36644938.271277964</v>
      </c>
    </row>
    <row r="68" spans="1:18" x14ac:dyDescent="0.25">
      <c r="A68" s="5" t="s">
        <v>69</v>
      </c>
      <c r="B68" s="5" t="s">
        <v>150</v>
      </c>
      <c r="C68" s="6">
        <v>35.848478</v>
      </c>
      <c r="D68" s="7">
        <f>VLOOKUP(A68,'Costdrivere 2025'!$A$2:$AF$86,28,FALSE)</f>
        <v>3.7176986835689901E-2</v>
      </c>
      <c r="E68" s="8">
        <f>SUMPRODUCT(('Costdrivere 2025'!$A$3:$A$95=A68)*'Costdrivere 2025'!$C$3:$G$95)</f>
        <v>6784758.1367124068</v>
      </c>
      <c r="F68" s="8">
        <f>VLOOKUP(A68,'Costdrivere 2025'!$A$2:$AF$86,32,FALSE)</f>
        <v>11613752.215208963</v>
      </c>
      <c r="G68" s="8">
        <v>11458897</v>
      </c>
      <c r="H68" s="8">
        <v>7876834.71</v>
      </c>
      <c r="I68" s="8">
        <v>1093000</v>
      </c>
      <c r="J68" s="8">
        <v>4702649.4890806768</v>
      </c>
      <c r="K68" s="8">
        <f t="shared" si="5"/>
        <v>13672484.199080678</v>
      </c>
      <c r="L68" s="8">
        <f t="shared" si="6"/>
        <v>25131381.199080676</v>
      </c>
      <c r="M68" s="8">
        <v>0</v>
      </c>
      <c r="N68" s="8">
        <v>335688</v>
      </c>
      <c r="O68" s="8">
        <v>0</v>
      </c>
      <c r="P68" s="8">
        <f>G68-N68</f>
        <v>11123209</v>
      </c>
      <c r="Q68" s="8">
        <f>K68-M68-O68</f>
        <v>13672484.199080678</v>
      </c>
      <c r="R68" s="8">
        <f t="shared" si="7"/>
        <v>24795693.199080676</v>
      </c>
    </row>
    <row r="69" spans="1:18" x14ac:dyDescent="0.25">
      <c r="A69" s="5" t="s">
        <v>70</v>
      </c>
      <c r="B69" s="5" t="s">
        <v>205</v>
      </c>
      <c r="C69" s="6">
        <v>34.238641000000001</v>
      </c>
      <c r="D69" s="7">
        <f>VLOOKUP(A69,'Costdrivere 2025'!$A$2:$AF$86,28,FALSE)</f>
        <v>0.11019826000816339</v>
      </c>
      <c r="E69" s="8">
        <f>SUMPRODUCT(('Costdrivere 2025'!$A$3:$A$95=A69)*'Costdrivere 2025'!$C$3:$G$95)</f>
        <v>42043634.669243708</v>
      </c>
      <c r="F69" s="8">
        <f>VLOOKUP(A69,'Costdrivere 2025'!$A$2:$AF$86,32,FALSE)</f>
        <v>58660710.385469899</v>
      </c>
      <c r="G69" s="8">
        <v>55451020</v>
      </c>
      <c r="H69" s="8">
        <v>36518814.649999999</v>
      </c>
      <c r="I69" s="8">
        <v>2620000</v>
      </c>
      <c r="J69" s="8">
        <v>26076492.741538331</v>
      </c>
      <c r="K69" s="8">
        <f t="shared" si="5"/>
        <v>65215307.391538329</v>
      </c>
      <c r="L69" s="8">
        <f t="shared" si="6"/>
        <v>120666327.39153832</v>
      </c>
      <c r="M69" s="8">
        <v>0</v>
      </c>
      <c r="N69" s="8">
        <v>0</v>
      </c>
      <c r="O69" s="8">
        <v>0</v>
      </c>
      <c r="P69" s="8">
        <f>G69-N69</f>
        <v>55451020</v>
      </c>
      <c r="Q69" s="8">
        <f>K69-M69-O69</f>
        <v>65215307.391538329</v>
      </c>
      <c r="R69" s="8">
        <f t="shared" si="7"/>
        <v>120666327.39153832</v>
      </c>
    </row>
    <row r="70" spans="1:18" x14ac:dyDescent="0.25">
      <c r="A70" s="5" t="s">
        <v>72</v>
      </c>
      <c r="B70" s="5" t="s">
        <v>71</v>
      </c>
      <c r="C70" s="6">
        <v>19.403362999999999</v>
      </c>
      <c r="D70" s="7">
        <f>VLOOKUP(A70,'Costdrivere 2025'!$A$2:$AF$86,28,FALSE)</f>
        <v>0</v>
      </c>
      <c r="E70" s="8">
        <f>SUMPRODUCT(('Costdrivere 2025'!$A$3:$A$95=A70)*'Costdrivere 2025'!$C$3:$G$95)</f>
        <v>346540.88500000007</v>
      </c>
      <c r="F70" s="8">
        <f>VLOOKUP(A70,'Costdrivere 2025'!$A$2:$AF$86,32,FALSE)</f>
        <v>971895.88192669954</v>
      </c>
      <c r="G70" s="8">
        <v>5204804</v>
      </c>
      <c r="H70" s="8">
        <v>987275.18</v>
      </c>
      <c r="I70" s="8">
        <v>44444</v>
      </c>
      <c r="J70" s="8">
        <v>50154.87850214971</v>
      </c>
      <c r="K70" s="8">
        <f t="shared" si="5"/>
        <v>1081874.0585021498</v>
      </c>
      <c r="L70" s="8">
        <f t="shared" si="6"/>
        <v>6286678.0585021498</v>
      </c>
      <c r="M70" s="8">
        <v>0</v>
      </c>
      <c r="N70" s="8">
        <v>4965861</v>
      </c>
      <c r="O70" s="8">
        <v>0</v>
      </c>
      <c r="P70" s="8">
        <f>G70-N70</f>
        <v>238943</v>
      </c>
      <c r="Q70" s="8">
        <f>K70-M70-O70</f>
        <v>1081874.0585021498</v>
      </c>
      <c r="R70" s="8">
        <f>P70+Q70</f>
        <v>1320817.0585021498</v>
      </c>
    </row>
    <row r="71" spans="1:18" x14ac:dyDescent="0.25">
      <c r="A71" s="5" t="s">
        <v>73</v>
      </c>
      <c r="B71" s="5" t="s">
        <v>206</v>
      </c>
      <c r="C71" s="6">
        <v>34.143236999999999</v>
      </c>
      <c r="D71" s="7">
        <f>VLOOKUP(A71,'Costdrivere 2025'!$A$2:$AF$86,28,FALSE)</f>
        <v>3.0748094328401535E-2</v>
      </c>
      <c r="E71" s="8">
        <f>SUMPRODUCT(('Costdrivere 2025'!$A$3:$A$95=A71)*'Costdrivere 2025'!$C$3:$G$95)</f>
        <v>4042068.2821148075</v>
      </c>
      <c r="F71" s="8">
        <f>VLOOKUP(A71,'Costdrivere 2025'!$A$2:$AF$86,32,FALSE)</f>
        <v>7763938.8915457036</v>
      </c>
      <c r="G71" s="8">
        <v>5216342</v>
      </c>
      <c r="H71" s="8">
        <v>4229715.6100000003</v>
      </c>
      <c r="I71" s="8">
        <v>614178</v>
      </c>
      <c r="J71" s="8">
        <v>1986093.8985367382</v>
      </c>
      <c r="K71" s="8">
        <f t="shared" si="5"/>
        <v>6829987.5085367383</v>
      </c>
      <c r="L71" s="8">
        <f t="shared" si="6"/>
        <v>12046329.508536737</v>
      </c>
      <c r="M71" s="8">
        <v>0</v>
      </c>
      <c r="N71" s="8">
        <v>0</v>
      </c>
      <c r="O71" s="8">
        <v>0</v>
      </c>
      <c r="P71" s="8">
        <f>G71-N71</f>
        <v>5216342</v>
      </c>
      <c r="Q71" s="8">
        <f>K71-M71-O71</f>
        <v>6829987.5085367383</v>
      </c>
      <c r="R71" s="8">
        <f t="shared" si="7"/>
        <v>12046329.508536737</v>
      </c>
    </row>
    <row r="72" spans="1:18" x14ac:dyDescent="0.25">
      <c r="A72" s="5" t="s">
        <v>74</v>
      </c>
      <c r="B72" s="5" t="s">
        <v>151</v>
      </c>
      <c r="C72" s="6">
        <v>36.149428999999998</v>
      </c>
      <c r="D72" s="7">
        <f>VLOOKUP(A72,'Costdrivere 2025'!$A$2:$AF$86,28,FALSE)</f>
        <v>0.14473513860622161</v>
      </c>
      <c r="E72" s="8">
        <f>SUMPRODUCT(('Costdrivere 2025'!$A$3:$A$95=A72)*'Costdrivere 2025'!$C$3:$G$95)</f>
        <v>10275360.869666923</v>
      </c>
      <c r="F72" s="8">
        <f>VLOOKUP(A72,'Costdrivere 2025'!$A$2:$AF$86,32,FALSE)</f>
        <v>15258537.395381093</v>
      </c>
      <c r="G72" s="8">
        <v>17118114</v>
      </c>
      <c r="H72" s="8">
        <v>10711837.01</v>
      </c>
      <c r="I72" s="8">
        <v>188598</v>
      </c>
      <c r="J72" s="8">
        <v>8566346.0220987201</v>
      </c>
      <c r="K72" s="8">
        <f t="shared" si="5"/>
        <v>19466781.032098718</v>
      </c>
      <c r="L72" s="8">
        <f t="shared" si="6"/>
        <v>36584895.032098718</v>
      </c>
      <c r="M72" s="8">
        <v>0</v>
      </c>
      <c r="N72" s="8">
        <v>0</v>
      </c>
      <c r="O72" s="8">
        <v>0</v>
      </c>
      <c r="P72" s="8">
        <f>G72-N72</f>
        <v>17118114</v>
      </c>
      <c r="Q72" s="8">
        <f>K72-M72-O72</f>
        <v>19466781.032098718</v>
      </c>
      <c r="R72" s="8">
        <f t="shared" si="7"/>
        <v>36584895.032098718</v>
      </c>
    </row>
    <row r="73" spans="1:18" x14ac:dyDescent="0.25">
      <c r="A73" s="5" t="s">
        <v>75</v>
      </c>
      <c r="B73" s="5" t="s">
        <v>207</v>
      </c>
      <c r="C73" s="6">
        <v>37.122959000000002</v>
      </c>
      <c r="D73" s="7">
        <f>VLOOKUP(A73,'Costdrivere 2025'!$A$2:$AF$86,28,FALSE)</f>
        <v>2.6472328507090657E-2</v>
      </c>
      <c r="E73" s="8">
        <f>SUMPRODUCT(('Costdrivere 2025'!$A$3:$A$95=A73)*'Costdrivere 2025'!$C$3:$G$95)</f>
        <v>17629725.521091539</v>
      </c>
      <c r="F73" s="8">
        <f>VLOOKUP(A73,'Costdrivere 2025'!$A$2:$AF$86,32,FALSE)</f>
        <v>33103342.494426057</v>
      </c>
      <c r="G73" s="8">
        <v>21922831</v>
      </c>
      <c r="H73" s="8">
        <v>19190815.66</v>
      </c>
      <c r="I73" s="8">
        <v>1418717</v>
      </c>
      <c r="J73" s="8">
        <v>9134120.8827063423</v>
      </c>
      <c r="K73" s="8">
        <f t="shared" si="5"/>
        <v>29743653.542706341</v>
      </c>
      <c r="L73" s="8">
        <f t="shared" si="6"/>
        <v>51666484.542706341</v>
      </c>
      <c r="M73" s="8">
        <v>0</v>
      </c>
      <c r="N73" s="8">
        <v>0</v>
      </c>
      <c r="O73" s="8">
        <v>0</v>
      </c>
      <c r="P73" s="8">
        <f>G73-N73</f>
        <v>21922831</v>
      </c>
      <c r="Q73" s="8">
        <f>K73-M73-O73</f>
        <v>29743653.542706341</v>
      </c>
      <c r="R73" s="8">
        <f t="shared" si="7"/>
        <v>51666484.542706341</v>
      </c>
    </row>
    <row r="74" spans="1:18" x14ac:dyDescent="0.25">
      <c r="A74" s="5" t="s">
        <v>76</v>
      </c>
      <c r="B74" s="5" t="s">
        <v>208</v>
      </c>
      <c r="C74" s="6">
        <v>37.995814000000003</v>
      </c>
      <c r="D74" s="7">
        <f>VLOOKUP(A74,'Costdrivere 2025'!$A$2:$AF$86,28,FALSE)</f>
        <v>3.8744932672570294E-2</v>
      </c>
      <c r="E74" s="8">
        <f>SUMPRODUCT(('Costdrivere 2025'!$A$3:$A$95=A74)*'Costdrivere 2025'!$C$3:$G$95)</f>
        <v>6011452.5929120127</v>
      </c>
      <c r="F74" s="8">
        <f>VLOOKUP(A74,'Costdrivere 2025'!$A$2:$AF$86,32,FALSE)</f>
        <v>15457054.051834308</v>
      </c>
      <c r="G74" s="8">
        <v>13405899</v>
      </c>
      <c r="H74" s="8">
        <v>6243364.5099999998</v>
      </c>
      <c r="I74" s="8">
        <v>546814</v>
      </c>
      <c r="J74" s="8">
        <v>5295218.6908918414</v>
      </c>
      <c r="K74" s="8">
        <f t="shared" si="5"/>
        <v>12085397.200891841</v>
      </c>
      <c r="L74" s="8">
        <f t="shared" si="6"/>
        <v>25491296.200891841</v>
      </c>
      <c r="M74" s="8">
        <v>0</v>
      </c>
      <c r="N74" s="8">
        <v>0</v>
      </c>
      <c r="O74" s="8">
        <v>0</v>
      </c>
      <c r="P74" s="8">
        <f>G74-N74</f>
        <v>13405899</v>
      </c>
      <c r="Q74" s="8">
        <f>K74-M74-O74</f>
        <v>12085397.200891841</v>
      </c>
      <c r="R74" s="8">
        <f t="shared" si="7"/>
        <v>25491296.200891841</v>
      </c>
    </row>
    <row r="75" spans="1:18" x14ac:dyDescent="0.25">
      <c r="A75" s="5" t="s">
        <v>77</v>
      </c>
      <c r="B75" s="5" t="s">
        <v>152</v>
      </c>
      <c r="C75" s="6">
        <v>33.235537000000001</v>
      </c>
      <c r="D75" s="7">
        <f>VLOOKUP(A75,'Costdrivere 2025'!$A$2:$AF$86,28,FALSE)</f>
        <v>0.12686164371549494</v>
      </c>
      <c r="E75" s="8">
        <f>SUMPRODUCT(('Costdrivere 2025'!$A$3:$A$95=A75)*'Costdrivere 2025'!$C$3:$G$95)</f>
        <v>23292477.564168524</v>
      </c>
      <c r="F75" s="8">
        <f>VLOOKUP(A75,'Costdrivere 2025'!$A$2:$AF$86,32,FALSE)</f>
        <v>44245134.830516353</v>
      </c>
      <c r="G75" s="8">
        <v>45289219</v>
      </c>
      <c r="H75" s="8">
        <v>18685781.530000001</v>
      </c>
      <c r="I75" s="8">
        <v>3468618</v>
      </c>
      <c r="J75" s="8">
        <v>22232396.753443558</v>
      </c>
      <c r="K75" s="8">
        <f t="shared" si="5"/>
        <v>44386796.283443555</v>
      </c>
      <c r="L75" s="8">
        <f t="shared" si="6"/>
        <v>89676015.283443555</v>
      </c>
      <c r="M75" s="8">
        <v>0</v>
      </c>
      <c r="N75" s="8">
        <v>0</v>
      </c>
      <c r="O75" s="8">
        <v>0</v>
      </c>
      <c r="P75" s="8">
        <f>G75-N75</f>
        <v>45289219</v>
      </c>
      <c r="Q75" s="8">
        <f>K75-M75-O75</f>
        <v>44386796.283443555</v>
      </c>
      <c r="R75" s="8">
        <f t="shared" si="7"/>
        <v>89676015.283443555</v>
      </c>
    </row>
    <row r="76" spans="1:18" x14ac:dyDescent="0.25">
      <c r="A76" s="5" t="s">
        <v>78</v>
      </c>
      <c r="B76" s="5" t="s">
        <v>209</v>
      </c>
      <c r="C76" s="6">
        <v>33.229914999999998</v>
      </c>
      <c r="D76" s="7">
        <f>VLOOKUP(A76,'Costdrivere 2025'!$A$2:$AF$86,28,FALSE)</f>
        <v>0.1248609890556172</v>
      </c>
      <c r="E76" s="8">
        <f>SUMPRODUCT(('Costdrivere 2025'!$A$3:$A$95=A76)*'Costdrivere 2025'!$C$3:$G$95)</f>
        <v>51533426.994254373</v>
      </c>
      <c r="F76" s="8">
        <f>VLOOKUP(A76,'Costdrivere 2025'!$A$2:$AF$86,32,FALSE)</f>
        <v>83872053.424768507</v>
      </c>
      <c r="G76" s="8">
        <v>76276692</v>
      </c>
      <c r="H76" s="8">
        <v>50643720.960000001</v>
      </c>
      <c r="I76" s="8">
        <v>599274</v>
      </c>
      <c r="J76" s="8">
        <v>47185368.406090684</v>
      </c>
      <c r="K76" s="8">
        <f t="shared" si="5"/>
        <v>98428363.366090685</v>
      </c>
      <c r="L76" s="8">
        <f t="shared" si="6"/>
        <v>174705055.36609069</v>
      </c>
      <c r="M76" s="8">
        <v>0</v>
      </c>
      <c r="N76" s="8">
        <v>0</v>
      </c>
      <c r="O76" s="8">
        <v>0</v>
      </c>
      <c r="P76" s="8">
        <f>G76-N76</f>
        <v>76276692</v>
      </c>
      <c r="Q76" s="8">
        <f>K76-M76-O76</f>
        <v>98428363.366090685</v>
      </c>
      <c r="R76" s="8">
        <f>P76+Q76</f>
        <v>174705055.36609069</v>
      </c>
    </row>
    <row r="80" spans="1:18" ht="16.5" customHeight="1" x14ac:dyDescent="0.25"/>
  </sheetData>
  <customSheetViews>
    <customSheetView guid="{2C63D52F-0547-4395-8CA0-C7353D68F8CD}" scale="80">
      <pane xSplit="2" ySplit="2" topLeftCell="C48" activePane="bottomRight" state="frozen"/>
      <selection pane="bottomRight" activeCell="A77" sqref="A77"/>
      <pageMargins left="0.7" right="0.7" top="0.75" bottom="0.75" header="0.3" footer="0.3"/>
      <pageSetup paperSize="9" orientation="portrait" r:id="rId1"/>
    </customSheetView>
    <customSheetView guid="{53A86AE5-34B9-4AAD-8A1B-514545CD4D41}" scale="80">
      <pane xSplit="2" topLeftCell="I1" activePane="topRight" state="frozen"/>
      <selection pane="topRight" activeCell="S3" sqref="S3"/>
      <pageMargins left="0.7" right="0.7" top="0.75" bottom="0.75" header="0.3" footer="0.3"/>
      <pageSetup paperSize="9" orientation="portrait" r:id="rId2"/>
    </customSheetView>
    <customSheetView guid="{23FC3042-4DA9-4083-9758-54D5110D65D9}" scale="80">
      <pane xSplit="2" ySplit="2" topLeftCell="C48" activePane="bottomRight" state="frozen"/>
      <selection pane="bottomRight" activeCell="A77" sqref="A77"/>
      <pageMargins left="0.7" right="0.7" top="0.75" bottom="0.75" header="0.3" footer="0.3"/>
      <pageSetup paperSize="9" orientation="portrait" r:id="rId3"/>
    </customSheetView>
    <customSheetView guid="{5FBF3CB5-95CF-4C0E-8B39-AC62F6F49BEE}" scale="80">
      <pane xSplit="2" ySplit="1" topLeftCell="AB5" activePane="bottomRight" state="frozen"/>
      <selection pane="bottomRight" activeCell="AQ3" sqref="AQ3"/>
      <pageMargins left="0.7" right="0.7" top="0.75" bottom="0.75" header="0.3" footer="0.3"/>
      <pageSetup paperSize="9" orientation="portrait" r:id="rId4"/>
    </customSheetView>
    <customSheetView guid="{2CE6916A-B758-47AB-980F-69C7A5893278}" scale="80">
      <pane xSplit="2" ySplit="2" topLeftCell="H48" activePane="bottomRight" state="frozen"/>
      <selection pane="bottomRight" activeCell="N15" sqref="N15"/>
      <pageMargins left="0.7" right="0.7" top="0.75" bottom="0.75" header="0.3" footer="0.3"/>
      <pageSetup paperSize="9" orientation="portrait" r:id="rId5"/>
    </customSheetView>
    <customSheetView guid="{8AB850D7-B944-458B-BCC3-5E89642C0267}" scale="80">
      <pane xSplit="2" ySplit="2" topLeftCell="C3" activePane="bottomRight" state="frozen"/>
      <selection pane="bottomRight" activeCell="H7" sqref="H7"/>
      <pageMargins left="0.7" right="0.7" top="0.75" bottom="0.75" header="0.3" footer="0.3"/>
      <pageSetup paperSize="9" orientation="portrait" r:id="rId6"/>
    </customSheetView>
    <customSheetView guid="{DF8BFEF0-0BD5-4622-BE69-0A50F4CB3BF9}" scale="70">
      <pane xSplit="2" ySplit="2" topLeftCell="O3" activePane="bottomRight" state="frozen"/>
      <selection pane="bottomRight" activeCell="R45" sqref="R45"/>
      <pageMargins left="0.7" right="0.7" top="0.75" bottom="0.75" header="0.3" footer="0.3"/>
      <pageSetup paperSize="9" orientation="portrait" r:id="rId7"/>
    </customSheetView>
    <customSheetView guid="{567A7DB2-5052-48B6-AF10-DEE353704E6F}" scale="70">
      <pane xSplit="2" ySplit="1.1888111888111887" topLeftCell="C3" activePane="bottomRight" state="frozen"/>
      <selection pane="bottomRight" activeCell="J2" sqref="J2"/>
      <pageMargins left="0.7" right="0.7" top="0.75" bottom="0.75" header="0.3" footer="0.3"/>
      <pageSetup paperSize="9" orientation="portrait" r:id="rId8"/>
    </customSheetView>
    <customSheetView guid="{04200D46-0C53-4477-BAC3-AB4074B626AC}" scale="70">
      <pane xSplit="2" ySplit="2" topLeftCell="C3" activePane="bottomRight" state="frozen"/>
      <selection pane="bottomRight" activeCell="AF2" sqref="AF2"/>
      <pageMargins left="0.7" right="0.7" top="0.75" bottom="0.75" header="0.3" footer="0.3"/>
      <pageSetup paperSize="9" orientation="portrait" r:id="rId9"/>
    </customSheetView>
    <customSheetView guid="{74E4FC22-AA95-4DF3-A713-5EDF3ADB5B44}" scale="70">
      <pane xSplit="2" ySplit="2" topLeftCell="C3" activePane="bottomRight" state="frozen"/>
      <selection pane="bottomRight" activeCell="AF2" sqref="AF2"/>
      <pageMargins left="0.7" right="0.7" top="0.75" bottom="0.75" header="0.3" footer="0.3"/>
      <pageSetup paperSize="9" orientation="portrait" r:id="rId10"/>
    </customSheetView>
    <customSheetView guid="{23E6A4DE-893A-46F1-B86D-CF441BE94B8E}" scale="80">
      <pane xSplit="2" ySplit="2" topLeftCell="C3" activePane="bottomRight" state="frozen"/>
      <selection pane="bottomRight" activeCell="C43" sqref="C43"/>
      <pageMargins left="0.7" right="0.7" top="0.75" bottom="0.75" header="0.3" footer="0.3"/>
      <pageSetup paperSize="9" orientation="portrait" r:id="rId11"/>
    </customSheetView>
    <customSheetView guid="{829B6B23-535C-44A1-B480-6154D4D7EB30}" scale="80">
      <pane xSplit="2" ySplit="1" topLeftCell="E30" activePane="bottomRight" state="frozen"/>
      <selection pane="bottomRight" activeCell="R40" sqref="R40"/>
      <pageMargins left="0.7" right="0.7" top="0.75" bottom="0.75" header="0.3" footer="0.3"/>
      <pageSetup paperSize="9" orientation="portrait" r:id="rId12"/>
    </customSheetView>
  </customSheetViews>
  <pageMargins left="0.7" right="0.7" top="0.75" bottom="0.75" header="0.3" footer="0.3"/>
  <pageSetup paperSize="9" fitToHeight="0" orientation="landscape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CD_Gns">
    <pageSetUpPr fitToPage="1"/>
  </sheetPr>
  <dimension ref="A1:H77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31.28515625" bestFit="1" customWidth="1"/>
    <col min="3" max="3" width="21.5703125" bestFit="1" customWidth="1"/>
    <col min="4" max="4" width="12" bestFit="1" customWidth="1"/>
    <col min="5" max="5" width="19.5703125" bestFit="1" customWidth="1"/>
    <col min="6" max="6" width="17.5703125" bestFit="1" customWidth="1"/>
    <col min="7" max="7" width="9.140625" bestFit="1" customWidth="1"/>
    <col min="8" max="8" width="22.28515625" bestFit="1" customWidth="1"/>
  </cols>
  <sheetData>
    <row r="1" spans="1:8" x14ac:dyDescent="0.25">
      <c r="A1" s="9"/>
      <c r="B1" s="9"/>
      <c r="C1" s="12" t="s">
        <v>79</v>
      </c>
      <c r="D1" s="12"/>
      <c r="E1" s="12"/>
      <c r="F1" s="12"/>
      <c r="G1" s="12"/>
      <c r="H1" s="12"/>
    </row>
    <row r="2" spans="1:8" ht="15.75" thickBot="1" x14ac:dyDescent="0.3">
      <c r="A2" s="2" t="s">
        <v>104</v>
      </c>
      <c r="B2" s="2" t="s">
        <v>0</v>
      </c>
      <c r="C2" s="2" t="s">
        <v>80</v>
      </c>
      <c r="D2" s="2" t="s">
        <v>81</v>
      </c>
      <c r="E2" s="2" t="s">
        <v>82</v>
      </c>
      <c r="F2" s="2" t="s">
        <v>83</v>
      </c>
      <c r="G2" s="2" t="s">
        <v>85</v>
      </c>
      <c r="H2" s="2" t="s">
        <v>101</v>
      </c>
    </row>
    <row r="3" spans="1:8" x14ac:dyDescent="0.25">
      <c r="A3" s="5" t="s">
        <v>1</v>
      </c>
      <c r="B3" s="5" t="s">
        <v>210</v>
      </c>
      <c r="C3" s="8">
        <v>667696.76</v>
      </c>
      <c r="D3" s="8">
        <v>1993844.665</v>
      </c>
      <c r="E3" s="8">
        <v>539225.99</v>
      </c>
      <c r="F3" s="8">
        <v>1921930.22</v>
      </c>
      <c r="G3" s="8">
        <v>1022497.405</v>
      </c>
      <c r="H3" s="8">
        <v>1446330.04</v>
      </c>
    </row>
    <row r="4" spans="1:8" x14ac:dyDescent="0.25">
      <c r="A4" s="5" t="s">
        <v>2</v>
      </c>
      <c r="B4" s="5" t="s">
        <v>429</v>
      </c>
      <c r="C4" s="8">
        <v>577802.35499999998</v>
      </c>
      <c r="D4" s="8">
        <v>2458883.4300000002</v>
      </c>
      <c r="E4" s="8">
        <v>147753.35</v>
      </c>
      <c r="F4" s="8">
        <v>956368.26</v>
      </c>
      <c r="G4" s="8">
        <v>831948.56</v>
      </c>
      <c r="H4" s="8">
        <v>1302773.23</v>
      </c>
    </row>
    <row r="5" spans="1:8" x14ac:dyDescent="0.25">
      <c r="A5" s="5" t="s">
        <v>3</v>
      </c>
      <c r="B5" s="5" t="s">
        <v>432</v>
      </c>
      <c r="C5" s="8">
        <v>729768.17</v>
      </c>
      <c r="D5" s="8">
        <v>1944660.67</v>
      </c>
      <c r="E5" s="8">
        <v>509586.95</v>
      </c>
      <c r="F5" s="8">
        <v>1998873.19</v>
      </c>
      <c r="G5" s="8">
        <v>1471106.9350000001</v>
      </c>
      <c r="H5" s="8">
        <v>1466304.4</v>
      </c>
    </row>
    <row r="6" spans="1:8" x14ac:dyDescent="0.25">
      <c r="A6" s="5" t="s">
        <v>114</v>
      </c>
      <c r="B6" s="5" t="s">
        <v>211</v>
      </c>
      <c r="C6" s="8">
        <v>531505.43000000005</v>
      </c>
      <c r="D6" s="8">
        <v>1536275.36</v>
      </c>
      <c r="E6" s="8">
        <v>132676.95000000001</v>
      </c>
      <c r="F6" s="8">
        <v>1004489.645</v>
      </c>
      <c r="G6" s="8">
        <v>447465.02</v>
      </c>
      <c r="H6" s="8">
        <v>1178376.9099999999</v>
      </c>
    </row>
    <row r="7" spans="1:8" x14ac:dyDescent="0.25">
      <c r="A7" s="5" t="s">
        <v>4</v>
      </c>
      <c r="B7" s="5" t="s">
        <v>584</v>
      </c>
      <c r="C7" s="8">
        <v>463043.77</v>
      </c>
      <c r="D7" s="8">
        <v>1379010.16</v>
      </c>
      <c r="E7" s="8">
        <v>232984.75</v>
      </c>
      <c r="F7" s="8">
        <v>2290680.0049999999</v>
      </c>
      <c r="G7" s="8">
        <v>918560.87</v>
      </c>
      <c r="H7" s="8">
        <v>1065542.49</v>
      </c>
    </row>
    <row r="8" spans="1:8" x14ac:dyDescent="0.25">
      <c r="A8" s="5" t="s">
        <v>5</v>
      </c>
      <c r="B8" s="5" t="s">
        <v>586</v>
      </c>
      <c r="C8" s="8">
        <v>1206073.415</v>
      </c>
      <c r="D8" s="8">
        <v>5279638.1100000003</v>
      </c>
      <c r="E8" s="8">
        <v>784084.75</v>
      </c>
      <c r="F8" s="8">
        <v>4406976.58</v>
      </c>
      <c r="G8" s="8">
        <v>2259265.25</v>
      </c>
      <c r="H8" s="8">
        <v>2713587.8849999998</v>
      </c>
    </row>
    <row r="9" spans="1:8" x14ac:dyDescent="0.25">
      <c r="A9" s="5" t="s">
        <v>7</v>
      </c>
      <c r="B9" s="5" t="s">
        <v>438</v>
      </c>
      <c r="C9" s="8">
        <v>3530775.33</v>
      </c>
      <c r="D9" s="8">
        <v>11395084.935000001</v>
      </c>
      <c r="E9" s="8">
        <v>420286.23</v>
      </c>
      <c r="F9" s="8">
        <v>8133299.2699999996</v>
      </c>
      <c r="G9" s="8">
        <v>4477122.9649999999</v>
      </c>
      <c r="H9" s="8">
        <v>7881989.4850000003</v>
      </c>
    </row>
    <row r="10" spans="1:8" x14ac:dyDescent="0.25">
      <c r="A10" s="5" t="s">
        <v>8</v>
      </c>
      <c r="B10" s="5" t="s">
        <v>226</v>
      </c>
      <c r="C10" s="8">
        <v>946709.64500000002</v>
      </c>
      <c r="D10" s="8">
        <v>2706218.125</v>
      </c>
      <c r="E10" s="8">
        <v>184155.45</v>
      </c>
      <c r="F10" s="8">
        <v>1341991.0900000001</v>
      </c>
      <c r="G10" s="8">
        <v>863072.255</v>
      </c>
      <c r="H10" s="8">
        <v>2101972.1949999998</v>
      </c>
    </row>
    <row r="11" spans="1:8" x14ac:dyDescent="0.25">
      <c r="A11" s="5" t="s">
        <v>9</v>
      </c>
      <c r="B11" s="5" t="s">
        <v>222</v>
      </c>
      <c r="C11" s="8">
        <v>1375195.0249999999</v>
      </c>
      <c r="D11" s="8">
        <v>3923003.1549999998</v>
      </c>
      <c r="E11" s="8">
        <v>222200.15</v>
      </c>
      <c r="F11" s="8">
        <v>3048372.125</v>
      </c>
      <c r="G11" s="8">
        <v>1996310.37</v>
      </c>
      <c r="H11" s="8">
        <v>2990799.95</v>
      </c>
    </row>
    <row r="12" spans="1:8" x14ac:dyDescent="0.25">
      <c r="A12" s="5" t="s">
        <v>10</v>
      </c>
      <c r="B12" s="5" t="s">
        <v>227</v>
      </c>
      <c r="C12" s="8">
        <v>581968.32499999995</v>
      </c>
      <c r="D12" s="8">
        <v>1683328.5649999999</v>
      </c>
      <c r="E12" s="8">
        <v>202254.15</v>
      </c>
      <c r="F12" s="8">
        <v>1681812.72</v>
      </c>
      <c r="G12" s="8">
        <v>1463654.78</v>
      </c>
      <c r="H12" s="8">
        <v>2074498.57</v>
      </c>
    </row>
    <row r="13" spans="1:8" x14ac:dyDescent="0.25">
      <c r="A13" s="5" t="s">
        <v>11</v>
      </c>
      <c r="B13" s="5" t="s">
        <v>228</v>
      </c>
      <c r="C13" s="8">
        <v>1140366.8149999999</v>
      </c>
      <c r="D13" s="8">
        <v>8848638.9399999995</v>
      </c>
      <c r="E13" s="8">
        <v>312933.55</v>
      </c>
      <c r="F13" s="8">
        <v>5938318.375</v>
      </c>
      <c r="G13" s="8">
        <v>699662.69</v>
      </c>
      <c r="H13" s="8">
        <v>4990009.4749999996</v>
      </c>
    </row>
    <row r="14" spans="1:8" x14ac:dyDescent="0.25">
      <c r="A14" s="5" t="s">
        <v>12</v>
      </c>
      <c r="B14" s="5" t="s">
        <v>579</v>
      </c>
      <c r="C14" s="8">
        <v>2215544.38</v>
      </c>
      <c r="D14" s="8">
        <v>7435231.46</v>
      </c>
      <c r="E14" s="8">
        <v>664326.67000000004</v>
      </c>
      <c r="F14" s="8">
        <v>6172391.2949999999</v>
      </c>
      <c r="G14" s="8">
        <v>3286065.67</v>
      </c>
      <c r="H14" s="8">
        <v>4598139.915</v>
      </c>
    </row>
    <row r="15" spans="1:8" x14ac:dyDescent="0.25">
      <c r="A15" s="5" t="s">
        <v>13</v>
      </c>
      <c r="B15" s="5" t="s">
        <v>456</v>
      </c>
      <c r="C15" s="8">
        <v>767584.35499999998</v>
      </c>
      <c r="D15" s="8">
        <v>2149563.5249999999</v>
      </c>
      <c r="E15" s="8">
        <v>220329.75</v>
      </c>
      <c r="F15" s="8">
        <v>2437241.5499999998</v>
      </c>
      <c r="G15" s="8">
        <v>1558936.385</v>
      </c>
      <c r="H15" s="8">
        <v>1642630.08</v>
      </c>
    </row>
    <row r="16" spans="1:8" x14ac:dyDescent="0.25">
      <c r="A16" s="5" t="s">
        <v>15</v>
      </c>
      <c r="B16" s="5" t="s">
        <v>463</v>
      </c>
      <c r="C16" s="8">
        <v>935129.22499999998</v>
      </c>
      <c r="D16" s="8">
        <v>2600419.6949999998</v>
      </c>
      <c r="E16" s="8">
        <v>195436.71</v>
      </c>
      <c r="F16" s="8">
        <v>2593818.2050000001</v>
      </c>
      <c r="G16" s="8">
        <v>1481687.94</v>
      </c>
      <c r="H16" s="8">
        <v>1981070.0549999999</v>
      </c>
    </row>
    <row r="17" spans="1:8" x14ac:dyDescent="0.25">
      <c r="A17" s="5" t="s">
        <v>16</v>
      </c>
      <c r="B17" s="5" t="s">
        <v>469</v>
      </c>
      <c r="C17" s="8">
        <v>1560052.6</v>
      </c>
      <c r="D17" s="8">
        <v>4156517.56</v>
      </c>
      <c r="E17" s="8">
        <v>168184.15</v>
      </c>
      <c r="F17" s="8">
        <v>3883509.5249999999</v>
      </c>
      <c r="G17" s="8">
        <v>1943442.97</v>
      </c>
      <c r="H17" s="8">
        <v>3723396.4049999998</v>
      </c>
    </row>
    <row r="18" spans="1:8" x14ac:dyDescent="0.25">
      <c r="A18" s="5" t="s">
        <v>17</v>
      </c>
      <c r="B18" s="5" t="s">
        <v>472</v>
      </c>
      <c r="C18" s="8">
        <v>802348.78</v>
      </c>
      <c r="D18" s="8">
        <v>2450583.46</v>
      </c>
      <c r="E18" s="8">
        <v>266068.34999999998</v>
      </c>
      <c r="F18" s="8">
        <v>3255490.2650000001</v>
      </c>
      <c r="G18" s="8">
        <v>1522812.665</v>
      </c>
      <c r="H18" s="8">
        <v>3691651.9750000001</v>
      </c>
    </row>
    <row r="19" spans="1:8" x14ac:dyDescent="0.25">
      <c r="A19" s="5" t="s">
        <v>18</v>
      </c>
      <c r="B19" s="5" t="s">
        <v>580</v>
      </c>
      <c r="C19" s="8">
        <v>681731.64</v>
      </c>
      <c r="D19" s="8">
        <v>2011028.4450000001</v>
      </c>
      <c r="E19" s="8"/>
      <c r="F19" s="8">
        <v>1483637.355</v>
      </c>
      <c r="G19" s="8">
        <v>573113.29500000004</v>
      </c>
      <c r="H19" s="8">
        <v>1580438.8049999999</v>
      </c>
    </row>
    <row r="20" spans="1:8" x14ac:dyDescent="0.25">
      <c r="A20" s="5" t="s">
        <v>19</v>
      </c>
      <c r="B20" s="5" t="s">
        <v>223</v>
      </c>
      <c r="C20" s="8">
        <v>888034.17</v>
      </c>
      <c r="D20" s="8">
        <v>2632723.9249999998</v>
      </c>
      <c r="E20" s="8">
        <v>176723.75</v>
      </c>
      <c r="F20" s="8">
        <v>4180466.77</v>
      </c>
      <c r="G20" s="8">
        <v>1584310.8049999999</v>
      </c>
      <c r="H20" s="8">
        <v>2182661.4750000001</v>
      </c>
    </row>
    <row r="21" spans="1:8" x14ac:dyDescent="0.25">
      <c r="A21" s="5" t="s">
        <v>20</v>
      </c>
      <c r="B21" s="5" t="s">
        <v>477</v>
      </c>
      <c r="C21" s="8">
        <v>648079.74</v>
      </c>
      <c r="D21" s="8">
        <v>2052736.28</v>
      </c>
      <c r="E21" s="8">
        <v>87447.75</v>
      </c>
      <c r="F21" s="8">
        <v>938047.62</v>
      </c>
      <c r="G21" s="8">
        <v>700169.76500000001</v>
      </c>
      <c r="H21" s="8">
        <v>1428612.675</v>
      </c>
    </row>
    <row r="22" spans="1:8" x14ac:dyDescent="0.25">
      <c r="A22" s="5" t="s">
        <v>21</v>
      </c>
      <c r="B22" s="5" t="s">
        <v>229</v>
      </c>
      <c r="C22" s="8">
        <v>685749.83</v>
      </c>
      <c r="D22" s="8">
        <v>1992781.06</v>
      </c>
      <c r="E22" s="8"/>
      <c r="F22" s="8">
        <v>2025916.21</v>
      </c>
      <c r="G22" s="8">
        <v>1345969.44</v>
      </c>
      <c r="H22" s="8">
        <v>1498796.9550000001</v>
      </c>
    </row>
    <row r="23" spans="1:8" x14ac:dyDescent="0.25">
      <c r="A23" s="5" t="s">
        <v>22</v>
      </c>
      <c r="B23" s="5" t="s">
        <v>581</v>
      </c>
      <c r="C23" s="8">
        <v>915543.58499999996</v>
      </c>
      <c r="D23" s="8">
        <v>2301729.83</v>
      </c>
      <c r="E23" s="8">
        <v>192982.55</v>
      </c>
      <c r="F23" s="8">
        <v>4290570.3949999996</v>
      </c>
      <c r="G23" s="8">
        <v>1462555.7749999999</v>
      </c>
      <c r="H23" s="8">
        <v>1751571.1950000001</v>
      </c>
    </row>
    <row r="24" spans="1:8" x14ac:dyDescent="0.25">
      <c r="A24" s="5" t="s">
        <v>23</v>
      </c>
      <c r="B24" s="5" t="s">
        <v>212</v>
      </c>
      <c r="C24" s="8">
        <v>1558095.02</v>
      </c>
      <c r="D24" s="8">
        <v>4520868.1550000003</v>
      </c>
      <c r="E24" s="8">
        <v>229133.75</v>
      </c>
      <c r="F24" s="8">
        <v>4389604.9800000004</v>
      </c>
      <c r="G24" s="8">
        <v>2423394.0750000002</v>
      </c>
      <c r="H24" s="8">
        <v>3330229.9</v>
      </c>
    </row>
    <row r="25" spans="1:8" x14ac:dyDescent="0.25">
      <c r="A25" s="5" t="s">
        <v>24</v>
      </c>
      <c r="B25" s="5" t="s">
        <v>230</v>
      </c>
      <c r="C25" s="8">
        <v>769663.57</v>
      </c>
      <c r="D25" s="8">
        <v>2414124.5449999999</v>
      </c>
      <c r="E25" s="8">
        <v>218329.79</v>
      </c>
      <c r="F25" s="8">
        <v>1396721.115</v>
      </c>
      <c r="G25" s="8">
        <v>872284.3</v>
      </c>
      <c r="H25" s="8">
        <v>2421989.5550000002</v>
      </c>
    </row>
    <row r="26" spans="1:8" x14ac:dyDescent="0.25">
      <c r="A26" s="5" t="s">
        <v>25</v>
      </c>
      <c r="B26" s="5" t="s">
        <v>221</v>
      </c>
      <c r="C26" s="8">
        <v>1690201.79</v>
      </c>
      <c r="D26" s="8">
        <v>6148024.3899999997</v>
      </c>
      <c r="E26" s="8">
        <v>333072.15000000002</v>
      </c>
      <c r="F26" s="8">
        <v>4020993.47</v>
      </c>
      <c r="G26" s="8">
        <v>2453884</v>
      </c>
      <c r="H26" s="8">
        <v>3317709.125</v>
      </c>
    </row>
    <row r="27" spans="1:8" x14ac:dyDescent="0.25">
      <c r="A27" s="5" t="s">
        <v>26</v>
      </c>
      <c r="B27" s="5" t="s">
        <v>231</v>
      </c>
      <c r="C27" s="8">
        <v>14085.23</v>
      </c>
      <c r="D27" s="8">
        <v>0</v>
      </c>
      <c r="E27" s="8"/>
      <c r="F27" s="8">
        <v>1190440.2450000001</v>
      </c>
      <c r="G27" s="8">
        <v>1054432.1599999999</v>
      </c>
      <c r="H27" s="8">
        <v>1412539.48</v>
      </c>
    </row>
    <row r="28" spans="1:8" x14ac:dyDescent="0.25">
      <c r="A28" s="5" t="s">
        <v>27</v>
      </c>
      <c r="B28" s="5" t="s">
        <v>232</v>
      </c>
      <c r="C28" s="8">
        <v>368267.21</v>
      </c>
      <c r="D28" s="8">
        <v>3947236.59</v>
      </c>
      <c r="E28" s="8">
        <v>183684.15</v>
      </c>
      <c r="F28" s="8">
        <v>1555614.895</v>
      </c>
      <c r="G28" s="8">
        <v>801885.57499999995</v>
      </c>
      <c r="H28" s="8">
        <v>2109944.34</v>
      </c>
    </row>
    <row r="29" spans="1:8" x14ac:dyDescent="0.25">
      <c r="A29" s="5" t="s">
        <v>28</v>
      </c>
      <c r="B29" s="5" t="s">
        <v>233</v>
      </c>
      <c r="C29" s="8"/>
      <c r="D29" s="8">
        <v>0</v>
      </c>
      <c r="E29" s="8">
        <v>213589.75</v>
      </c>
      <c r="F29" s="8">
        <v>1266306.9099999999</v>
      </c>
      <c r="G29" s="8">
        <v>755048.80500000005</v>
      </c>
      <c r="H29" s="8">
        <v>1752405.6850000001</v>
      </c>
    </row>
    <row r="30" spans="1:8" x14ac:dyDescent="0.25">
      <c r="A30" s="5" t="s">
        <v>29</v>
      </c>
      <c r="B30" s="5" t="s">
        <v>234</v>
      </c>
      <c r="C30" s="8">
        <v>72422.615000000005</v>
      </c>
      <c r="D30" s="8">
        <v>231438.48499999999</v>
      </c>
      <c r="E30" s="8">
        <v>104835.35</v>
      </c>
      <c r="F30" s="8">
        <v>2466676.145</v>
      </c>
      <c r="G30" s="8">
        <v>1304771.49</v>
      </c>
      <c r="H30" s="8">
        <v>3356000.835</v>
      </c>
    </row>
    <row r="31" spans="1:8" x14ac:dyDescent="0.25">
      <c r="A31" s="5" t="s">
        <v>30</v>
      </c>
      <c r="B31" s="5" t="s">
        <v>235</v>
      </c>
      <c r="C31" s="8">
        <v>19106225.390000001</v>
      </c>
      <c r="D31" s="8">
        <v>90677798.905000001</v>
      </c>
      <c r="E31" s="8">
        <v>2738837.77</v>
      </c>
      <c r="F31" s="8">
        <v>24330520.329999998</v>
      </c>
      <c r="G31" s="8">
        <v>4193006.6749999998</v>
      </c>
      <c r="H31" s="8">
        <v>42609388.020000003</v>
      </c>
    </row>
    <row r="32" spans="1:8" x14ac:dyDescent="0.25">
      <c r="A32" s="5" t="s">
        <v>31</v>
      </c>
      <c r="B32" s="5" t="s">
        <v>236</v>
      </c>
      <c r="C32" s="8">
        <v>193533.345</v>
      </c>
      <c r="D32" s="8">
        <v>711749.60499999998</v>
      </c>
      <c r="E32" s="8">
        <v>202227.35</v>
      </c>
      <c r="F32" s="8">
        <v>1601390.5449999999</v>
      </c>
      <c r="G32" s="8">
        <v>953592.55</v>
      </c>
      <c r="H32" s="8">
        <v>2106322.4300000002</v>
      </c>
    </row>
    <row r="33" spans="1:8" x14ac:dyDescent="0.25">
      <c r="A33" s="5" t="s">
        <v>32</v>
      </c>
      <c r="B33" s="5" t="s">
        <v>224</v>
      </c>
      <c r="C33" s="8">
        <v>961930.27500000002</v>
      </c>
      <c r="D33" s="8">
        <v>2741859.7949999999</v>
      </c>
      <c r="E33" s="8">
        <v>87447.75</v>
      </c>
      <c r="F33" s="8">
        <v>2249255.8650000002</v>
      </c>
      <c r="G33" s="8">
        <v>1158715.925</v>
      </c>
      <c r="H33" s="8">
        <v>2058963.575</v>
      </c>
    </row>
    <row r="34" spans="1:8" x14ac:dyDescent="0.25">
      <c r="A34" s="5" t="s">
        <v>33</v>
      </c>
      <c r="B34" s="5" t="s">
        <v>237</v>
      </c>
      <c r="C34" s="8">
        <v>2074091.7949999999</v>
      </c>
      <c r="D34" s="8">
        <v>6007936.0650000004</v>
      </c>
      <c r="E34" s="8">
        <v>642393.72</v>
      </c>
      <c r="F34" s="8">
        <v>4728332.2450000001</v>
      </c>
      <c r="G34" s="8">
        <v>2185082.2650000001</v>
      </c>
      <c r="H34" s="8">
        <v>4459170.1500000004</v>
      </c>
    </row>
    <row r="35" spans="1:8" x14ac:dyDescent="0.25">
      <c r="A35" s="5" t="s">
        <v>34</v>
      </c>
      <c r="B35" s="5" t="s">
        <v>499</v>
      </c>
      <c r="C35" s="8">
        <v>353263.36499999999</v>
      </c>
      <c r="D35" s="8">
        <v>1086542.06</v>
      </c>
      <c r="E35" s="8">
        <v>308993.37</v>
      </c>
      <c r="F35" s="8">
        <v>2468691.5</v>
      </c>
      <c r="G35" s="8">
        <v>1183461.875</v>
      </c>
      <c r="H35" s="8">
        <v>2652465.5649999999</v>
      </c>
    </row>
    <row r="36" spans="1:8" x14ac:dyDescent="0.25">
      <c r="A36" s="5" t="s">
        <v>35</v>
      </c>
      <c r="B36" s="5" t="s">
        <v>582</v>
      </c>
      <c r="C36" s="8"/>
      <c r="D36" s="8">
        <v>0</v>
      </c>
      <c r="E36" s="8">
        <v>104835.35</v>
      </c>
      <c r="F36" s="8">
        <v>1221054.9850000001</v>
      </c>
      <c r="G36" s="8">
        <v>973291.09499999997</v>
      </c>
      <c r="H36" s="8">
        <v>1475829.34</v>
      </c>
    </row>
    <row r="37" spans="1:8" x14ac:dyDescent="0.25">
      <c r="A37" s="5" t="s">
        <v>37</v>
      </c>
      <c r="B37" s="5" t="s">
        <v>692</v>
      </c>
      <c r="C37" s="8">
        <v>470025.79499999998</v>
      </c>
      <c r="D37" s="8">
        <v>1383649.17</v>
      </c>
      <c r="E37" s="8">
        <v>141920.15</v>
      </c>
      <c r="F37" s="8">
        <v>1376383.8049999999</v>
      </c>
      <c r="G37" s="8">
        <v>997645.11</v>
      </c>
      <c r="H37" s="8">
        <v>1063306.2450000001</v>
      </c>
    </row>
    <row r="38" spans="1:8" x14ac:dyDescent="0.25">
      <c r="A38" s="5" t="s">
        <v>38</v>
      </c>
      <c r="B38" s="5" t="s">
        <v>502</v>
      </c>
      <c r="C38" s="8">
        <v>357519.46500000003</v>
      </c>
      <c r="D38" s="8">
        <v>1126888.79</v>
      </c>
      <c r="E38" s="8">
        <v>147753.35</v>
      </c>
      <c r="F38" s="8">
        <v>1049958.93</v>
      </c>
      <c r="G38" s="8">
        <v>556242.72499999998</v>
      </c>
      <c r="H38" s="8">
        <v>1297654.9850000001</v>
      </c>
    </row>
    <row r="39" spans="1:8" x14ac:dyDescent="0.25">
      <c r="A39" s="5" t="s">
        <v>39</v>
      </c>
      <c r="B39" s="5" t="s">
        <v>238</v>
      </c>
      <c r="C39" s="8"/>
      <c r="D39" s="8">
        <v>6085966.1449999996</v>
      </c>
      <c r="E39" s="8">
        <v>151163.35</v>
      </c>
      <c r="F39" s="8">
        <v>90220.34</v>
      </c>
      <c r="G39" s="8">
        <v>2491.56</v>
      </c>
      <c r="H39" s="8">
        <v>4001752.2650000001</v>
      </c>
    </row>
    <row r="40" spans="1:8" x14ac:dyDescent="0.25">
      <c r="A40" s="5" t="s">
        <v>40</v>
      </c>
      <c r="B40" s="5" t="s">
        <v>225</v>
      </c>
      <c r="C40" s="8">
        <v>1053921.105</v>
      </c>
      <c r="D40" s="8">
        <v>4596859.0599999996</v>
      </c>
      <c r="E40" s="8">
        <v>182690.87</v>
      </c>
      <c r="F40" s="8">
        <v>1902760.14</v>
      </c>
      <c r="G40" s="8">
        <v>897016.26500000001</v>
      </c>
      <c r="H40" s="8">
        <v>3901030.875</v>
      </c>
    </row>
    <row r="41" spans="1:8" x14ac:dyDescent="0.25">
      <c r="A41" s="5" t="s">
        <v>41</v>
      </c>
      <c r="B41" s="5" t="s">
        <v>583</v>
      </c>
      <c r="C41" s="8">
        <v>353019.05499999999</v>
      </c>
      <c r="D41" s="8">
        <v>1507909.81</v>
      </c>
      <c r="E41" s="8">
        <v>252625.47</v>
      </c>
      <c r="F41" s="8">
        <v>1652190.0149999999</v>
      </c>
      <c r="G41" s="8">
        <v>1088552.915</v>
      </c>
      <c r="H41" s="8">
        <v>1090152.165</v>
      </c>
    </row>
    <row r="42" spans="1:8" x14ac:dyDescent="0.25">
      <c r="A42" s="5" t="s">
        <v>42</v>
      </c>
      <c r="B42" s="5" t="s">
        <v>239</v>
      </c>
      <c r="C42" s="8">
        <v>840278.32</v>
      </c>
      <c r="D42" s="8">
        <v>2426399.125</v>
      </c>
      <c r="E42" s="8">
        <v>243301.75</v>
      </c>
      <c r="F42" s="8">
        <v>1867749.425</v>
      </c>
      <c r="G42" s="8">
        <v>1139079.75</v>
      </c>
      <c r="H42" s="8">
        <v>1840200.53</v>
      </c>
    </row>
    <row r="43" spans="1:8" x14ac:dyDescent="0.25">
      <c r="A43" s="5" t="s">
        <v>43</v>
      </c>
      <c r="B43" s="5" t="s">
        <v>287</v>
      </c>
      <c r="C43" s="8">
        <v>931970.09</v>
      </c>
      <c r="D43" s="8">
        <v>2691154.1549999998</v>
      </c>
      <c r="E43" s="8">
        <v>553915.94999999995</v>
      </c>
      <c r="F43" s="8">
        <v>2456884.96</v>
      </c>
      <c r="G43" s="8">
        <v>1290070.27</v>
      </c>
      <c r="H43" s="8">
        <v>2127691.5350000001</v>
      </c>
    </row>
    <row r="44" spans="1:8" x14ac:dyDescent="0.25">
      <c r="A44" s="5" t="s">
        <v>44</v>
      </c>
      <c r="B44" s="5" t="s">
        <v>240</v>
      </c>
      <c r="C44" s="8">
        <v>887595.67500000005</v>
      </c>
      <c r="D44" s="8">
        <v>2537696.46</v>
      </c>
      <c r="E44" s="8">
        <v>269377.19</v>
      </c>
      <c r="F44" s="8">
        <v>3242768.2949999999</v>
      </c>
      <c r="G44" s="8">
        <v>1970764.5049999999</v>
      </c>
      <c r="H44" s="8">
        <v>1982898.2250000001</v>
      </c>
    </row>
    <row r="45" spans="1:8" x14ac:dyDescent="0.25">
      <c r="A45" s="5" t="s">
        <v>45</v>
      </c>
      <c r="B45" s="5" t="s">
        <v>241</v>
      </c>
      <c r="C45" s="8">
        <v>811110.99</v>
      </c>
      <c r="D45" s="8">
        <v>3489266.04</v>
      </c>
      <c r="E45" s="8">
        <v>166239.75</v>
      </c>
      <c r="F45" s="8">
        <v>4713250.08</v>
      </c>
      <c r="G45" s="8">
        <v>1475968.395</v>
      </c>
      <c r="H45" s="8">
        <v>2955470.41</v>
      </c>
    </row>
    <row r="46" spans="1:8" x14ac:dyDescent="0.25">
      <c r="A46" s="5" t="s">
        <v>46</v>
      </c>
      <c r="B46" s="5" t="s">
        <v>616</v>
      </c>
      <c r="C46" s="8">
        <v>726896.16500000004</v>
      </c>
      <c r="D46" s="8">
        <v>2125132.645</v>
      </c>
      <c r="E46" s="8">
        <v>239945.15</v>
      </c>
      <c r="F46" s="8">
        <v>1568115.2749999999</v>
      </c>
      <c r="G46" s="8">
        <v>845862.98499999999</v>
      </c>
      <c r="H46" s="8">
        <v>1709599.38</v>
      </c>
    </row>
    <row r="47" spans="1:8" x14ac:dyDescent="0.25">
      <c r="A47" s="5" t="s">
        <v>47</v>
      </c>
      <c r="B47" s="5" t="s">
        <v>242</v>
      </c>
      <c r="C47" s="8">
        <v>834147.10499999998</v>
      </c>
      <c r="D47" s="8">
        <v>2438340.79</v>
      </c>
      <c r="E47" s="8">
        <v>253508.55</v>
      </c>
      <c r="F47" s="8">
        <v>1744840.845</v>
      </c>
      <c r="G47" s="8">
        <v>1094039.7450000001</v>
      </c>
      <c r="H47" s="8">
        <v>1971171.36</v>
      </c>
    </row>
    <row r="48" spans="1:8" x14ac:dyDescent="0.25">
      <c r="A48" s="5" t="s">
        <v>48</v>
      </c>
      <c r="B48" s="5" t="s">
        <v>213</v>
      </c>
      <c r="C48" s="8">
        <v>635628.89500000002</v>
      </c>
      <c r="D48" s="8">
        <v>1879875.655</v>
      </c>
      <c r="E48" s="8">
        <v>147753.35</v>
      </c>
      <c r="F48" s="8">
        <v>1298383.21</v>
      </c>
      <c r="G48" s="8">
        <v>1158182.1599999999</v>
      </c>
      <c r="H48" s="8">
        <v>1465353.0249999999</v>
      </c>
    </row>
    <row r="49" spans="1:8" x14ac:dyDescent="0.25">
      <c r="A49" s="5" t="s">
        <v>49</v>
      </c>
      <c r="B49" s="5" t="s">
        <v>243</v>
      </c>
      <c r="C49" s="8">
        <v>1129471.5549999999</v>
      </c>
      <c r="D49" s="8">
        <v>3287122.7349999999</v>
      </c>
      <c r="E49" s="8">
        <v>374724.43</v>
      </c>
      <c r="F49" s="8">
        <v>4854315.4550000001</v>
      </c>
      <c r="G49" s="8">
        <v>1923275.5649999999</v>
      </c>
      <c r="H49" s="8">
        <v>2380157.9</v>
      </c>
    </row>
    <row r="50" spans="1:8" x14ac:dyDescent="0.25">
      <c r="A50" s="5" t="s">
        <v>50</v>
      </c>
      <c r="B50" s="5" t="s">
        <v>214</v>
      </c>
      <c r="C50" s="8">
        <v>477629.79</v>
      </c>
      <c r="D50" s="8">
        <v>1564093.02</v>
      </c>
      <c r="E50" s="8">
        <v>241678.55</v>
      </c>
      <c r="F50" s="8">
        <v>1238673.56</v>
      </c>
      <c r="G50" s="8">
        <v>905432.21499999997</v>
      </c>
      <c r="H50" s="8">
        <v>1113524.6299999999</v>
      </c>
    </row>
    <row r="51" spans="1:8" x14ac:dyDescent="0.25">
      <c r="A51" s="5" t="s">
        <v>51</v>
      </c>
      <c r="B51" s="5" t="s">
        <v>215</v>
      </c>
      <c r="C51" s="8">
        <v>1634548.7350000001</v>
      </c>
      <c r="D51" s="8">
        <v>4307923.3499999996</v>
      </c>
      <c r="E51" s="8">
        <v>536583.23</v>
      </c>
      <c r="F51" s="8">
        <v>4708128.05</v>
      </c>
      <c r="G51" s="8">
        <v>2789294.4049999998</v>
      </c>
      <c r="H51" s="8">
        <v>3627978.8849999998</v>
      </c>
    </row>
    <row r="52" spans="1:8" x14ac:dyDescent="0.25">
      <c r="A52" s="5" t="s">
        <v>52</v>
      </c>
      <c r="B52" s="5" t="s">
        <v>244</v>
      </c>
      <c r="C52" s="8">
        <v>809230.73</v>
      </c>
      <c r="D52" s="8">
        <v>2320939.59</v>
      </c>
      <c r="E52" s="8">
        <v>173724.55</v>
      </c>
      <c r="F52" s="8">
        <v>2715800.74</v>
      </c>
      <c r="G52" s="8">
        <v>1147793.54</v>
      </c>
      <c r="H52" s="8">
        <v>1777613.12</v>
      </c>
    </row>
    <row r="53" spans="1:8" x14ac:dyDescent="0.25">
      <c r="A53" s="5" t="s">
        <v>53</v>
      </c>
      <c r="B53" s="5" t="s">
        <v>245</v>
      </c>
      <c r="C53" s="8">
        <v>1631313.11</v>
      </c>
      <c r="D53" s="8">
        <v>4756648.1100000003</v>
      </c>
      <c r="E53" s="8">
        <v>337714.39</v>
      </c>
      <c r="F53" s="8">
        <v>4125350.4750000001</v>
      </c>
      <c r="G53" s="8">
        <v>1706972.9950000001</v>
      </c>
      <c r="H53" s="8">
        <v>3530448.44</v>
      </c>
    </row>
    <row r="54" spans="1:8" x14ac:dyDescent="0.25">
      <c r="A54" s="5" t="s">
        <v>54</v>
      </c>
      <c r="B54" s="5" t="s">
        <v>246</v>
      </c>
      <c r="C54" s="8">
        <v>786660.14500000002</v>
      </c>
      <c r="D54" s="8">
        <v>2306672.5499999998</v>
      </c>
      <c r="E54" s="8">
        <v>87447.75</v>
      </c>
      <c r="F54" s="8">
        <v>1445156.7350000001</v>
      </c>
      <c r="G54" s="8">
        <v>1210869.3500000001</v>
      </c>
      <c r="H54" s="8">
        <v>1789849.7749999999</v>
      </c>
    </row>
    <row r="55" spans="1:8" x14ac:dyDescent="0.25">
      <c r="A55" s="5" t="s">
        <v>55</v>
      </c>
      <c r="B55" s="5" t="s">
        <v>247</v>
      </c>
      <c r="C55" s="8">
        <v>502355.875</v>
      </c>
      <c r="D55" s="8">
        <v>2092460.35</v>
      </c>
      <c r="E55" s="8">
        <v>117600.55</v>
      </c>
      <c r="F55" s="8">
        <v>1090425.9750000001</v>
      </c>
      <c r="G55" s="8">
        <v>917103.61499999999</v>
      </c>
      <c r="H55" s="8">
        <v>1061449.23</v>
      </c>
    </row>
    <row r="56" spans="1:8" x14ac:dyDescent="0.25">
      <c r="A56" s="5" t="s">
        <v>56</v>
      </c>
      <c r="B56" s="5" t="s">
        <v>248</v>
      </c>
      <c r="C56" s="8">
        <v>1329673.885</v>
      </c>
      <c r="D56" s="8">
        <v>4401904.46</v>
      </c>
      <c r="E56" s="8">
        <v>427737.47</v>
      </c>
      <c r="F56" s="8">
        <v>4363293.335</v>
      </c>
      <c r="G56" s="8">
        <v>2564287.4</v>
      </c>
      <c r="H56" s="8">
        <v>3087384.9750000001</v>
      </c>
    </row>
    <row r="57" spans="1:8" x14ac:dyDescent="0.25">
      <c r="A57" s="5" t="s">
        <v>57</v>
      </c>
      <c r="B57" s="5" t="s">
        <v>533</v>
      </c>
      <c r="C57" s="8">
        <v>3069156.29</v>
      </c>
      <c r="D57" s="8">
        <v>14109445.35</v>
      </c>
      <c r="E57" s="8"/>
      <c r="F57" s="8">
        <v>159978.62</v>
      </c>
      <c r="G57" s="8">
        <v>1445.5650000000001</v>
      </c>
      <c r="H57" s="8">
        <v>7228091.7350000003</v>
      </c>
    </row>
    <row r="58" spans="1:8" x14ac:dyDescent="0.25">
      <c r="A58" s="5" t="s">
        <v>58</v>
      </c>
      <c r="B58" s="5" t="s">
        <v>249</v>
      </c>
      <c r="C58" s="8">
        <v>1775426.125</v>
      </c>
      <c r="D58" s="8">
        <v>7833577.9649999999</v>
      </c>
      <c r="E58" s="8">
        <v>585446.49</v>
      </c>
      <c r="F58" s="8">
        <v>4592806.7949999999</v>
      </c>
      <c r="G58" s="8">
        <v>2637163.105</v>
      </c>
      <c r="H58" s="8">
        <v>3870561.22</v>
      </c>
    </row>
    <row r="59" spans="1:8" x14ac:dyDescent="0.25">
      <c r="A59" s="5" t="s">
        <v>59</v>
      </c>
      <c r="B59" s="5" t="s">
        <v>250</v>
      </c>
      <c r="C59" s="8">
        <v>604869.34</v>
      </c>
      <c r="D59" s="8">
        <v>1868668.8049999999</v>
      </c>
      <c r="E59" s="8">
        <v>313593.75</v>
      </c>
      <c r="F59" s="8">
        <v>2097906.44</v>
      </c>
      <c r="G59" s="8">
        <v>970755.33</v>
      </c>
      <c r="H59" s="8">
        <v>1332976.875</v>
      </c>
    </row>
    <row r="60" spans="1:8" x14ac:dyDescent="0.25">
      <c r="A60" s="5" t="s">
        <v>60</v>
      </c>
      <c r="B60" s="5" t="s">
        <v>251</v>
      </c>
      <c r="C60" s="8">
        <v>1189797.9750000001</v>
      </c>
      <c r="D60" s="8">
        <v>3428879.6349999998</v>
      </c>
      <c r="E60" s="8">
        <v>384001.91</v>
      </c>
      <c r="F60" s="8">
        <v>3609435.7050000001</v>
      </c>
      <c r="G60" s="8">
        <v>1803612.05</v>
      </c>
      <c r="H60" s="8">
        <v>2725655.8149999999</v>
      </c>
    </row>
    <row r="61" spans="1:8" x14ac:dyDescent="0.25">
      <c r="A61" s="5" t="s">
        <v>61</v>
      </c>
      <c r="B61" s="5" t="s">
        <v>216</v>
      </c>
      <c r="C61" s="8">
        <v>530072.36499999999</v>
      </c>
      <c r="D61" s="8">
        <v>1565593.405</v>
      </c>
      <c r="E61" s="8">
        <v>102524.15</v>
      </c>
      <c r="F61" s="8">
        <v>1414683.82</v>
      </c>
      <c r="G61" s="8">
        <v>995116.11</v>
      </c>
      <c r="H61" s="8">
        <v>1167310.7649999999</v>
      </c>
    </row>
    <row r="62" spans="1:8" x14ac:dyDescent="0.25">
      <c r="A62" s="5" t="s">
        <v>62</v>
      </c>
      <c r="B62" s="5" t="s">
        <v>217</v>
      </c>
      <c r="C62" s="8">
        <v>908882.42500000005</v>
      </c>
      <c r="D62" s="8">
        <v>2577264.4500000002</v>
      </c>
      <c r="E62" s="8">
        <v>298517.34999999998</v>
      </c>
      <c r="F62" s="8">
        <v>3151337.0649999999</v>
      </c>
      <c r="G62" s="8">
        <v>1716531.365</v>
      </c>
      <c r="H62" s="8">
        <v>2017819.9350000001</v>
      </c>
    </row>
    <row r="63" spans="1:8" x14ac:dyDescent="0.25">
      <c r="A63" s="5" t="s">
        <v>63</v>
      </c>
      <c r="B63" s="5" t="s">
        <v>288</v>
      </c>
      <c r="C63" s="8">
        <v>1159032.7649999999</v>
      </c>
      <c r="D63" s="8">
        <v>3210373.8250000002</v>
      </c>
      <c r="E63" s="8">
        <v>287842.95</v>
      </c>
      <c r="F63" s="8">
        <v>3015880.915</v>
      </c>
      <c r="G63" s="8">
        <v>1980741.145</v>
      </c>
      <c r="H63" s="8">
        <v>2379517.9900000002</v>
      </c>
    </row>
    <row r="64" spans="1:8" x14ac:dyDescent="0.25">
      <c r="A64" s="5" t="s">
        <v>64</v>
      </c>
      <c r="B64" s="5" t="s">
        <v>289</v>
      </c>
      <c r="C64" s="8">
        <v>1486562.32</v>
      </c>
      <c r="D64" s="8">
        <v>4433756.78</v>
      </c>
      <c r="E64" s="8">
        <v>313593.75</v>
      </c>
      <c r="F64" s="8">
        <v>3158983.09</v>
      </c>
      <c r="G64" s="8">
        <v>1659781.355</v>
      </c>
      <c r="H64" s="8">
        <v>3342065.1150000002</v>
      </c>
    </row>
    <row r="65" spans="1:8" x14ac:dyDescent="0.25">
      <c r="A65" s="5" t="s">
        <v>65</v>
      </c>
      <c r="B65" s="5" t="s">
        <v>641</v>
      </c>
      <c r="C65" s="8">
        <v>5016988.05</v>
      </c>
      <c r="D65" s="8">
        <v>15159319.4</v>
      </c>
      <c r="E65" s="8">
        <v>1521656.59</v>
      </c>
      <c r="F65" s="8">
        <v>11998707.82</v>
      </c>
      <c r="G65" s="8">
        <v>5976939.0700000003</v>
      </c>
      <c r="H65" s="8">
        <v>10519831.48</v>
      </c>
    </row>
    <row r="66" spans="1:8" x14ac:dyDescent="0.25">
      <c r="A66" s="5" t="s">
        <v>66</v>
      </c>
      <c r="B66" s="5" t="s">
        <v>252</v>
      </c>
      <c r="C66" s="8">
        <v>811636.91500000004</v>
      </c>
      <c r="D66" s="8">
        <v>2060435.905</v>
      </c>
      <c r="E66" s="8">
        <v>102524.15</v>
      </c>
      <c r="F66" s="8">
        <v>2159076.7450000001</v>
      </c>
      <c r="G66" s="8">
        <v>1250441.45</v>
      </c>
      <c r="H66" s="8">
        <v>1812928.9450000001</v>
      </c>
    </row>
    <row r="67" spans="1:8" x14ac:dyDescent="0.25">
      <c r="A67" s="5" t="s">
        <v>67</v>
      </c>
      <c r="B67" s="5" t="s">
        <v>218</v>
      </c>
      <c r="C67" s="8">
        <v>351915.935</v>
      </c>
      <c r="D67" s="8">
        <v>1488273.43</v>
      </c>
      <c r="E67" s="8">
        <v>208395.15</v>
      </c>
      <c r="F67" s="8">
        <v>2182896.895</v>
      </c>
      <c r="G67" s="8">
        <v>1282683.77</v>
      </c>
      <c r="H67" s="8">
        <v>3280675.4649999999</v>
      </c>
    </row>
    <row r="68" spans="1:8" x14ac:dyDescent="0.25">
      <c r="A68" s="5" t="s">
        <v>68</v>
      </c>
      <c r="B68" s="5" t="s">
        <v>558</v>
      </c>
      <c r="C68" s="8">
        <v>826157.51</v>
      </c>
      <c r="D68" s="8">
        <v>2444273.5150000001</v>
      </c>
      <c r="E68" s="8">
        <v>182023.55</v>
      </c>
      <c r="F68" s="8">
        <v>2597586.125</v>
      </c>
      <c r="G68" s="8">
        <v>1597841.29</v>
      </c>
      <c r="H68" s="8">
        <v>3441721.8849999998</v>
      </c>
    </row>
    <row r="69" spans="1:8" x14ac:dyDescent="0.25">
      <c r="A69" s="5" t="s">
        <v>69</v>
      </c>
      <c r="B69" s="5" t="s">
        <v>655</v>
      </c>
      <c r="C69" s="8">
        <v>795132.4</v>
      </c>
      <c r="D69" s="8">
        <v>2713733.0049999999</v>
      </c>
      <c r="E69" s="8">
        <v>303243.99</v>
      </c>
      <c r="F69" s="8">
        <v>2001782.75</v>
      </c>
      <c r="G69" s="8">
        <v>1002580.585</v>
      </c>
      <c r="H69" s="8">
        <v>1794270.86</v>
      </c>
    </row>
    <row r="70" spans="1:8" x14ac:dyDescent="0.25">
      <c r="A70" s="5" t="s">
        <v>70</v>
      </c>
      <c r="B70" s="5" t="s">
        <v>219</v>
      </c>
      <c r="C70" s="8">
        <v>4169877.39</v>
      </c>
      <c r="D70" s="8">
        <v>18950517.135000002</v>
      </c>
      <c r="E70" s="8">
        <v>984285.19</v>
      </c>
      <c r="F70" s="8">
        <v>11608284.23</v>
      </c>
      <c r="G70" s="8">
        <v>6092758.1200000001</v>
      </c>
      <c r="H70" s="8">
        <v>9100233.625</v>
      </c>
    </row>
    <row r="71" spans="1:8" x14ac:dyDescent="0.25">
      <c r="A71" s="5" t="s">
        <v>72</v>
      </c>
      <c r="B71" s="5" t="s">
        <v>71</v>
      </c>
      <c r="C71" s="8"/>
      <c r="D71" s="8"/>
      <c r="E71" s="8">
        <v>343746.55</v>
      </c>
      <c r="F71" s="8">
        <v>2484.4</v>
      </c>
      <c r="G71" s="8">
        <v>309.94</v>
      </c>
      <c r="H71" s="8">
        <v>1638151.105</v>
      </c>
    </row>
    <row r="72" spans="1:8" x14ac:dyDescent="0.25">
      <c r="A72" s="5" t="s">
        <v>73</v>
      </c>
      <c r="B72" s="5" t="s">
        <v>220</v>
      </c>
      <c r="C72" s="8">
        <v>527689.39</v>
      </c>
      <c r="D72" s="8">
        <v>1843773.9450000001</v>
      </c>
      <c r="E72" s="8">
        <v>125998.75</v>
      </c>
      <c r="F72" s="8">
        <v>792701.85499999998</v>
      </c>
      <c r="G72" s="8">
        <v>713703.82</v>
      </c>
      <c r="H72" s="8">
        <v>1211840.325</v>
      </c>
    </row>
    <row r="73" spans="1:8" x14ac:dyDescent="0.25">
      <c r="A73" s="5" t="s">
        <v>74</v>
      </c>
      <c r="B73" s="5" t="s">
        <v>253</v>
      </c>
      <c r="C73" s="8">
        <v>1135150.1100000001</v>
      </c>
      <c r="D73" s="8">
        <v>3275995.2850000001</v>
      </c>
      <c r="E73" s="8">
        <v>474139.17</v>
      </c>
      <c r="F73" s="8">
        <v>3628554.3</v>
      </c>
      <c r="G73" s="8">
        <v>1718508.855</v>
      </c>
      <c r="H73" s="8">
        <v>2600392.2599999998</v>
      </c>
    </row>
    <row r="74" spans="1:8" x14ac:dyDescent="0.25">
      <c r="A74" s="5" t="s">
        <v>75</v>
      </c>
      <c r="B74" s="5" t="s">
        <v>254</v>
      </c>
      <c r="C74" s="8">
        <v>1677916.9350000001</v>
      </c>
      <c r="D74" s="8">
        <v>7364442.3399999999</v>
      </c>
      <c r="E74" s="8">
        <v>513048.51</v>
      </c>
      <c r="F74" s="8">
        <v>5599097.3899999997</v>
      </c>
      <c r="G74" s="8">
        <v>2433603.0249999999</v>
      </c>
      <c r="H74" s="8">
        <v>3596030.08</v>
      </c>
    </row>
    <row r="75" spans="1:8" x14ac:dyDescent="0.25">
      <c r="A75" s="5" t="s">
        <v>76</v>
      </c>
      <c r="B75" s="5" t="s">
        <v>571</v>
      </c>
      <c r="C75" s="8">
        <v>606897.38500000001</v>
      </c>
      <c r="D75" s="8">
        <v>1958693.65</v>
      </c>
      <c r="E75" s="8">
        <v>289664.065</v>
      </c>
      <c r="F75" s="8">
        <v>1853924.1950000001</v>
      </c>
      <c r="G75" s="8">
        <v>1274688.1100000001</v>
      </c>
      <c r="H75" s="8">
        <v>1294322.395</v>
      </c>
    </row>
    <row r="76" spans="1:8" x14ac:dyDescent="0.25">
      <c r="A76" s="5" t="s">
        <v>77</v>
      </c>
      <c r="B76" s="5" t="s">
        <v>666</v>
      </c>
      <c r="C76" s="8">
        <v>3203929.17</v>
      </c>
      <c r="D76" s="8">
        <v>8909739.2899999991</v>
      </c>
      <c r="E76" s="8">
        <v>653901.35</v>
      </c>
      <c r="F76" s="8">
        <v>7584727.3099999996</v>
      </c>
      <c r="G76" s="8">
        <v>2935873.64</v>
      </c>
      <c r="H76" s="8">
        <v>6741628.5149999997</v>
      </c>
    </row>
    <row r="77" spans="1:8" x14ac:dyDescent="0.25">
      <c r="A77" s="5" t="s">
        <v>78</v>
      </c>
      <c r="B77" s="5" t="s">
        <v>255</v>
      </c>
      <c r="C77" s="8">
        <v>6313359.9900000002</v>
      </c>
      <c r="D77" s="8">
        <v>20452353.149999999</v>
      </c>
      <c r="E77" s="8">
        <v>1309952.8700000001</v>
      </c>
      <c r="F77" s="8">
        <v>15740122.285</v>
      </c>
      <c r="G77" s="8">
        <v>7712853.125</v>
      </c>
      <c r="H77" s="8">
        <v>13557774.005000001</v>
      </c>
    </row>
  </sheetData>
  <customSheetViews>
    <customSheetView guid="{2C63D52F-0547-4395-8CA0-C7353D68F8CD}" scale="80">
      <pane xSplit="2" ySplit="3" topLeftCell="T4" activePane="bottomRight" state="frozen"/>
      <selection pane="bottomRight" activeCell="AH4" sqref="AH4"/>
      <pageMargins left="0.7" right="0.7" top="0.75" bottom="0.75" header="0.3" footer="0.3"/>
      <pageSetup paperSize="9" orientation="portrait" r:id="rId1"/>
    </customSheetView>
    <customSheetView guid="{53A86AE5-34B9-4AAD-8A1B-514545CD4D41}" scale="80">
      <pane xSplit="2" ySplit="1" topLeftCell="K36" activePane="bottomRight" state="frozen"/>
      <selection pane="bottomRight" activeCell="AF7" sqref="AF7"/>
      <pageMargins left="0.7" right="0.7" top="0.75" bottom="0.75" header="0.3" footer="0.3"/>
      <pageSetup paperSize="9" orientation="portrait" r:id="rId2"/>
    </customSheetView>
    <customSheetView guid="{23FC3042-4DA9-4083-9758-54D5110D65D9}" scale="80">
      <pane xSplit="2" ySplit="3" topLeftCell="T4" activePane="bottomRight" state="frozen"/>
      <selection pane="bottomRight" activeCell="AH4" sqref="AH4"/>
      <pageMargins left="0.7" right="0.7" top="0.75" bottom="0.75" header="0.3" footer="0.3"/>
      <pageSetup paperSize="9" orientation="portrait" r:id="rId3"/>
    </customSheetView>
    <customSheetView guid="{5FBF3CB5-95CF-4C0E-8B39-AC62F6F49BEE}" scale="80">
      <pane xSplit="2" ySplit="2" topLeftCell="K36" activePane="bottomRight" state="frozen"/>
      <selection pane="bottomRight" activeCell="AF7" sqref="AF7"/>
      <pageMargins left="0.7" right="0.7" top="0.75" bottom="0.75" header="0.3" footer="0.3"/>
      <pageSetup paperSize="9" orientation="portrait" r:id="rId4"/>
    </customSheetView>
    <customSheetView guid="{2CE6916A-B758-47AB-980F-69C7A5893278}" scale="80">
      <pane xSplit="2" ySplit="3" topLeftCell="R4" activePane="bottomRight" state="frozen"/>
      <selection pane="bottomRight" activeCell="AH4" sqref="AH4"/>
      <pageMargins left="0.7" right="0.7" top="0.75" bottom="0.75" header="0.3" footer="0.3"/>
      <pageSetup paperSize="9" orientation="portrait" r:id="rId5"/>
    </customSheetView>
    <customSheetView guid="{8AB850D7-B944-458B-BCC3-5E89642C0267}" scale="80">
      <pane xSplit="2" ySplit="3" topLeftCell="T4" activePane="bottomRight" state="frozen"/>
      <selection pane="bottomRight" activeCell="X10" sqref="X10"/>
      <pageMargins left="0.7" right="0.7" top="0.75" bottom="0.75" header="0.3" footer="0.3"/>
      <pageSetup paperSize="9" orientation="portrait" r:id="rId6"/>
    </customSheetView>
    <customSheetView guid="{DF8BFEF0-0BD5-4622-BE69-0A50F4CB3BF9}" scale="80">
      <pane xSplit="2" ySplit="3" topLeftCell="C4" activePane="bottomRight" state="frozen"/>
      <selection pane="bottomRight" activeCell="F35" sqref="F35"/>
      <pageMargins left="0.7" right="0.7" top="0.75" bottom="0.75" header="0.3" footer="0.3"/>
      <pageSetup paperSize="9" orientation="portrait" r:id="rId7"/>
    </customSheetView>
    <customSheetView guid="{567A7DB2-5052-48B6-AF10-DEE353704E6F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8"/>
    </customSheetView>
    <customSheetView guid="{04200D46-0C53-4477-BAC3-AB4074B626AC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9"/>
    </customSheetView>
    <customSheetView guid="{74E4FC22-AA95-4DF3-A713-5EDF3ADB5B44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10"/>
    </customSheetView>
    <customSheetView guid="{23E6A4DE-893A-46F1-B86D-CF441BE94B8E}" scale="80">
      <pane xSplit="2" ySplit="3" topLeftCell="W4" activePane="bottomRight" state="frozen"/>
      <selection pane="bottomRight" activeCell="AA4" sqref="AA4"/>
      <pageMargins left="0.7" right="0.7" top="0.75" bottom="0.75" header="0.3" footer="0.3"/>
      <pageSetup paperSize="9" orientation="portrait" r:id="rId11"/>
    </customSheetView>
    <customSheetView guid="{829B6B23-535C-44A1-B480-6154D4D7EB30}" scale="80">
      <pane xSplit="2" ySplit="2" topLeftCell="P4" activePane="bottomRight" state="frozen"/>
      <selection pane="bottomRight" activeCell="AC6" sqref="AA6:AC6"/>
      <pageMargins left="0.7" right="0.7" top="0.75" bottom="0.75" header="0.3" footer="0.3"/>
      <pageSetup paperSize="9" orientation="portrait" r:id="rId12"/>
    </customSheetView>
  </customSheetViews>
  <mergeCells count="1">
    <mergeCell ref="C1:H1"/>
  </mergeCells>
  <pageMargins left="0.7" right="0.7" top="0.75" bottom="0.75" header="0.3" footer="0.3"/>
  <pageSetup paperSize="9" fitToHeight="0" orientation="landscape"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CD_1">
    <pageSetUpPr fitToPage="1"/>
  </sheetPr>
  <dimension ref="A1:AF77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31.28515625" bestFit="1" customWidth="1"/>
    <col min="3" max="3" width="21.5703125" bestFit="1" customWidth="1"/>
    <col min="4" max="4" width="12" bestFit="1" customWidth="1"/>
    <col min="5" max="5" width="19.5703125" bestFit="1" customWidth="1"/>
    <col min="6" max="6" width="17.5703125" bestFit="1" customWidth="1"/>
    <col min="7" max="7" width="9.140625" bestFit="1" customWidth="1"/>
    <col min="8" max="8" width="22.28515625" bestFit="1" customWidth="1"/>
    <col min="9" max="9" width="30.7109375" bestFit="1" customWidth="1"/>
    <col min="10" max="12" width="11.42578125" bestFit="1" customWidth="1"/>
    <col min="13" max="13" width="18.7109375" bestFit="1" customWidth="1"/>
    <col min="14" max="14" width="26.85546875" bestFit="1" customWidth="1"/>
    <col min="15" max="15" width="15.140625" bestFit="1" customWidth="1"/>
    <col min="16" max="16" width="22.7109375" bestFit="1" customWidth="1"/>
    <col min="17" max="17" width="19.5703125" bestFit="1" customWidth="1"/>
    <col min="18" max="18" width="17.28515625" bestFit="1" customWidth="1"/>
    <col min="19" max="19" width="13.42578125" bestFit="1" customWidth="1"/>
    <col min="20" max="20" width="18.5703125" bestFit="1" customWidth="1"/>
    <col min="21" max="21" width="14.28515625" bestFit="1" customWidth="1"/>
    <col min="22" max="22" width="17" bestFit="1" customWidth="1"/>
    <col min="23" max="23" width="28.5703125" bestFit="1" customWidth="1"/>
    <col min="24" max="24" width="11.7109375" bestFit="1" customWidth="1"/>
    <col min="25" max="25" width="13.7109375" bestFit="1" customWidth="1"/>
    <col min="26" max="26" width="8.42578125" bestFit="1" customWidth="1"/>
    <col min="27" max="27" width="18.42578125" bestFit="1" customWidth="1"/>
    <col min="28" max="28" width="19.5703125" bestFit="1" customWidth="1"/>
    <col min="29" max="29" width="22.7109375" bestFit="1" customWidth="1"/>
    <col min="30" max="30" width="11.85546875" bestFit="1" customWidth="1"/>
    <col min="31" max="31" width="9.140625" bestFit="1" customWidth="1"/>
    <col min="32" max="32" width="11.140625" bestFit="1" customWidth="1"/>
  </cols>
  <sheetData>
    <row r="1" spans="1:32" x14ac:dyDescent="0.25">
      <c r="A1" s="9"/>
      <c r="B1" s="9"/>
      <c r="C1" s="12" t="s">
        <v>79</v>
      </c>
      <c r="D1" s="12"/>
      <c r="E1" s="12"/>
      <c r="F1" s="12"/>
      <c r="G1" s="12"/>
      <c r="H1" s="12"/>
      <c r="I1" s="9" t="s">
        <v>86</v>
      </c>
      <c r="J1" s="12" t="s">
        <v>81</v>
      </c>
      <c r="K1" s="12"/>
      <c r="L1" s="12"/>
      <c r="M1" s="12"/>
      <c r="N1" s="12" t="s">
        <v>82</v>
      </c>
      <c r="O1" s="12"/>
      <c r="P1" s="12"/>
      <c r="Q1" s="12"/>
      <c r="R1" s="12" t="s">
        <v>94</v>
      </c>
      <c r="S1" s="12"/>
      <c r="T1" s="12"/>
      <c r="U1" s="9" t="s">
        <v>84</v>
      </c>
      <c r="V1" s="9" t="s">
        <v>99</v>
      </c>
      <c r="W1" s="9" t="s">
        <v>102</v>
      </c>
      <c r="X1" s="9" t="s">
        <v>682</v>
      </c>
      <c r="Y1" s="9" t="s">
        <v>703</v>
      </c>
      <c r="Z1" s="9" t="s">
        <v>125</v>
      </c>
      <c r="AA1" s="9" t="s">
        <v>126</v>
      </c>
      <c r="AB1" s="9" t="s">
        <v>123</v>
      </c>
      <c r="AC1" s="12" t="s">
        <v>124</v>
      </c>
      <c r="AD1" s="12"/>
      <c r="AE1" s="12"/>
      <c r="AF1" s="12"/>
    </row>
    <row r="2" spans="1:32" ht="15.75" thickBot="1" x14ac:dyDescent="0.3">
      <c r="A2" s="2" t="s">
        <v>104</v>
      </c>
      <c r="B2" s="2" t="s">
        <v>0</v>
      </c>
      <c r="C2" s="2" t="s">
        <v>80</v>
      </c>
      <c r="D2" s="2" t="s">
        <v>81</v>
      </c>
      <c r="E2" s="2" t="s">
        <v>82</v>
      </c>
      <c r="F2" s="2" t="s">
        <v>83</v>
      </c>
      <c r="G2" s="2" t="s">
        <v>85</v>
      </c>
      <c r="H2" s="2" t="s">
        <v>101</v>
      </c>
      <c r="I2" s="2" t="s">
        <v>726</v>
      </c>
      <c r="J2" s="2" t="s">
        <v>87</v>
      </c>
      <c r="K2" s="2" t="s">
        <v>88</v>
      </c>
      <c r="L2" s="2" t="s">
        <v>89</v>
      </c>
      <c r="M2" s="2" t="s">
        <v>90</v>
      </c>
      <c r="N2" s="2" t="s">
        <v>91</v>
      </c>
      <c r="O2" s="2" t="s">
        <v>92</v>
      </c>
      <c r="P2" s="2" t="s">
        <v>103</v>
      </c>
      <c r="Q2" s="2" t="s">
        <v>93</v>
      </c>
      <c r="R2" s="2" t="s">
        <v>95</v>
      </c>
      <c r="S2" s="2" t="s">
        <v>96</v>
      </c>
      <c r="T2" s="2" t="s">
        <v>97</v>
      </c>
      <c r="U2" s="2" t="s">
        <v>98</v>
      </c>
      <c r="V2" s="2" t="s">
        <v>100</v>
      </c>
      <c r="W2" s="2" t="s">
        <v>107</v>
      </c>
      <c r="X2" s="2" t="s">
        <v>683</v>
      </c>
      <c r="Y2" s="2" t="s">
        <v>704</v>
      </c>
      <c r="Z2" s="2" t="s">
        <v>108</v>
      </c>
      <c r="AA2" s="2" t="s">
        <v>260</v>
      </c>
      <c r="AB2" s="2" t="s">
        <v>109</v>
      </c>
      <c r="AC2" s="2" t="s">
        <v>110</v>
      </c>
      <c r="AD2" s="2" t="s">
        <v>112</v>
      </c>
      <c r="AE2" s="2" t="s">
        <v>111</v>
      </c>
      <c r="AF2" s="2" t="s">
        <v>115</v>
      </c>
    </row>
    <row r="3" spans="1:32" x14ac:dyDescent="0.25">
      <c r="A3" s="5" t="s">
        <v>1</v>
      </c>
      <c r="B3" s="5" t="s">
        <v>210</v>
      </c>
      <c r="C3" s="8">
        <f>1.6917 * (I3 ^ 0.9121)</f>
        <v>635682.37756577495</v>
      </c>
      <c r="D3" s="8">
        <f>IF(SUM(J3:M3)=0,0,285172.4638+1.2346*(J3+K3)+1.9115*L3+1.4292*M3)</f>
        <v>1910751.7648</v>
      </c>
      <c r="E3" s="8">
        <f>IF(SUM(N3:Q3)=0,0,72371.35+15076.4*(N3+O3)+162.32*P3+65.66*Q3)</f>
        <v>539225.99</v>
      </c>
      <c r="F3" s="8">
        <f>IF(SUM(R3:U3)=0,0,7395.11*R3+36417.47*(S3+T3)+248.44*U3)</f>
        <v>1898932.3544999997</v>
      </c>
      <c r="G3" s="8">
        <f>IF(V3=0,0,309.935*V3^0.9052)</f>
        <v>994513.95791680028</v>
      </c>
      <c r="H3" s="8">
        <f>1.1738*4.2676*W3^0.898</f>
        <v>1459542.7653845479</v>
      </c>
      <c r="I3" s="8">
        <v>1294724</v>
      </c>
      <c r="J3" s="8">
        <f>SUMIF(Vandværker!$G:$G,'Costdrivere 2025'!$A3&amp;"_1",Vandværker!$E:$E)</f>
        <v>0</v>
      </c>
      <c r="K3" s="8">
        <f>SUMIF(Vandværker!$G:$G,'Costdrivere 2025'!$A3&amp;"_2",Vandværker!$E:$E)</f>
        <v>1316685</v>
      </c>
      <c r="L3" s="8">
        <f>SUMIF(Vandværker!$G:$G,'Costdrivere 2025'!$A3&amp;"_3",Vandværker!$E:$E)</f>
        <v>0</v>
      </c>
      <c r="M3" s="8">
        <f>SUMIF(Vandværker!$G:$G,'Costdrivere 2025'!$A3&amp;"_4",Vandværker!$E:$E)</f>
        <v>0</v>
      </c>
      <c r="N3" s="8">
        <v>15</v>
      </c>
      <c r="O3" s="8">
        <v>9</v>
      </c>
      <c r="P3" s="8">
        <v>647</v>
      </c>
      <c r="Q3" s="8"/>
      <c r="R3" s="8">
        <v>145.69999999999999</v>
      </c>
      <c r="S3" s="8">
        <v>10.25</v>
      </c>
      <c r="T3" s="8"/>
      <c r="U3" s="8">
        <v>1804</v>
      </c>
      <c r="V3" s="8">
        <v>7474</v>
      </c>
      <c r="W3" s="8">
        <v>1216526</v>
      </c>
      <c r="X3" s="8">
        <v>1216526</v>
      </c>
      <c r="Y3" s="8">
        <f t="shared" ref="Y3:Y34" si="0">SUM(J3:M3)</f>
        <v>1316685</v>
      </c>
      <c r="Z3" s="8">
        <v>7295</v>
      </c>
      <c r="AA3" s="8">
        <v>263.70707499225585</v>
      </c>
      <c r="AB3" s="8">
        <f t="shared" ref="AB3:AB34" si="1">IF(AA3&gt;0,Z3/AA3/1000,0)</f>
        <v>2.7663269937730068E-2</v>
      </c>
      <c r="AC3" s="8">
        <v>1901577.8734959152</v>
      </c>
      <c r="AD3" s="8">
        <v>6530633.0678034564</v>
      </c>
      <c r="AE3" s="8">
        <v>285000</v>
      </c>
      <c r="AF3" s="8">
        <f t="shared" ref="AF3:AF34" si="2">SUM(AC3:AE3)</f>
        <v>8717210.9412993714</v>
      </c>
    </row>
    <row r="4" spans="1:32" x14ac:dyDescent="0.25">
      <c r="A4" s="5" t="s">
        <v>2</v>
      </c>
      <c r="B4" s="5" t="s">
        <v>429</v>
      </c>
      <c r="C4" s="8">
        <f t="shared" ref="C4:C67" si="3">1.6917 * (I4 ^ 0.9121)</f>
        <v>577641.23229507974</v>
      </c>
      <c r="D4" s="8">
        <f t="shared" ref="D4:D67" si="4">IF(SUM(J4:M4)=0,0,285172.4638+1.2346*(J4+K4)+1.9115*L4+1.4292*M4)</f>
        <v>2442237.1343</v>
      </c>
      <c r="E4" s="8">
        <f t="shared" ref="E4:E67" si="5">IF(SUM(N4:Q4)=0,0,72371.35+15076.4*(N4+O4)+162.32*P4+65.66*Q4)</f>
        <v>147753.35</v>
      </c>
      <c r="F4" s="8">
        <f t="shared" ref="F4:F67" si="6">IF(SUM(R4:U4)=0,0,7395.11*R4+36417.47*(S4+T4)+248.44*U4)</f>
        <v>955995.60499999998</v>
      </c>
      <c r="G4" s="8">
        <f t="shared" ref="G4:G67" si="7">IF(V4=0,0,309.935*V4^0.9052)</f>
        <v>831887.20042575512</v>
      </c>
      <c r="H4" s="8">
        <f t="shared" ref="H4:H67" si="8">1.1738*4.2676*W4^0.898</f>
        <v>1270078.3374445017</v>
      </c>
      <c r="I4" s="8">
        <v>1165703</v>
      </c>
      <c r="J4" s="8">
        <f>SUMIF(Vandværker!$G:$G,'Costdrivere 2025'!$A4&amp;"_1",Vandværker!$E:$E)</f>
        <v>0</v>
      </c>
      <c r="K4" s="8">
        <f>SUMIF(Vandværker!$G:$G,'Costdrivere 2025'!$A4&amp;"_2",Vandværker!$E:$E)</f>
        <v>0</v>
      </c>
      <c r="L4" s="8">
        <f>SUMIF(Vandværker!$G:$G,'Costdrivere 2025'!$A4&amp;"_3",Vandværker!$E:$E)</f>
        <v>1128467</v>
      </c>
      <c r="M4" s="8">
        <f>SUMIF(Vandværker!$G:$G,'Costdrivere 2025'!$A4&amp;"_4",Vandværker!$E:$E)</f>
        <v>0</v>
      </c>
      <c r="N4" s="8">
        <v>1</v>
      </c>
      <c r="O4" s="8">
        <v>4</v>
      </c>
      <c r="P4" s="8"/>
      <c r="Q4" s="8"/>
      <c r="R4" s="8">
        <v>115.5</v>
      </c>
      <c r="S4" s="8"/>
      <c r="T4" s="8"/>
      <c r="U4" s="8">
        <v>410</v>
      </c>
      <c r="V4" s="8">
        <v>6136</v>
      </c>
      <c r="W4" s="8">
        <v>1042020</v>
      </c>
      <c r="X4" s="8">
        <v>1042020</v>
      </c>
      <c r="Y4" s="8">
        <f t="shared" si="0"/>
        <v>1128467</v>
      </c>
      <c r="Z4" s="8">
        <v>10655</v>
      </c>
      <c r="AA4" s="8">
        <v>141.00639999999999</v>
      </c>
      <c r="AB4" s="8">
        <f t="shared" si="1"/>
        <v>7.556394603365521E-2</v>
      </c>
      <c r="AC4" s="8">
        <v>1371497.3887548081</v>
      </c>
      <c r="AD4" s="8">
        <v>4708554.9829772459</v>
      </c>
      <c r="AE4" s="8">
        <v>435364.61617312074</v>
      </c>
      <c r="AF4" s="8">
        <f t="shared" si="2"/>
        <v>6515416.9879051754</v>
      </c>
    </row>
    <row r="5" spans="1:32" x14ac:dyDescent="0.25">
      <c r="A5" s="5" t="s">
        <v>3</v>
      </c>
      <c r="B5" s="5" t="s">
        <v>432</v>
      </c>
      <c r="C5" s="8">
        <f t="shared" si="3"/>
        <v>722595.60832841962</v>
      </c>
      <c r="D5" s="8">
        <f t="shared" si="4"/>
        <v>1920600.169</v>
      </c>
      <c r="E5" s="8">
        <f t="shared" si="5"/>
        <v>509586.94999999995</v>
      </c>
      <c r="F5" s="8">
        <f t="shared" si="6"/>
        <v>1993138.7349999999</v>
      </c>
      <c r="G5" s="8">
        <f t="shared" si="7"/>
        <v>1457407.1437539982</v>
      </c>
      <c r="H5" s="8">
        <f t="shared" si="8"/>
        <v>1438481.9071730785</v>
      </c>
      <c r="I5" s="8">
        <v>1490033</v>
      </c>
      <c r="J5" s="8">
        <f>SUMIF(Vandværker!$G:$G,'Costdrivere 2025'!$A5&amp;"_1",Vandværker!$E:$E)</f>
        <v>0</v>
      </c>
      <c r="K5" s="8">
        <f>SUMIF(Vandværker!$G:$G,'Costdrivere 2025'!$A5&amp;"_2",Vandværker!$E:$E)</f>
        <v>1324662</v>
      </c>
      <c r="L5" s="8">
        <f>SUMIF(Vandværker!$G:$G,'Costdrivere 2025'!$A5&amp;"_3",Vandværker!$E:$E)</f>
        <v>0</v>
      </c>
      <c r="M5" s="8">
        <f>SUMIF(Vandværker!$G:$G,'Costdrivere 2025'!$A5&amp;"_4",Vandværker!$E:$E)</f>
        <v>0</v>
      </c>
      <c r="N5" s="8">
        <v>17</v>
      </c>
      <c r="O5" s="8">
        <v>12</v>
      </c>
      <c r="P5" s="8"/>
      <c r="Q5" s="8"/>
      <c r="R5" s="8">
        <v>138.5</v>
      </c>
      <c r="S5" s="8"/>
      <c r="T5" s="8"/>
      <c r="U5" s="8">
        <v>3900</v>
      </c>
      <c r="V5" s="8">
        <v>11400</v>
      </c>
      <c r="W5" s="8">
        <v>1196994</v>
      </c>
      <c r="X5" s="8">
        <v>1199834</v>
      </c>
      <c r="Y5" s="8">
        <f t="shared" si="0"/>
        <v>1324662</v>
      </c>
      <c r="Z5" s="8">
        <v>16412</v>
      </c>
      <c r="AA5" s="8">
        <v>643.97400000000005</v>
      </c>
      <c r="AB5" s="8">
        <f t="shared" si="1"/>
        <v>2.5485500967430363E-2</v>
      </c>
      <c r="AC5" s="8">
        <v>3241144.2835733872</v>
      </c>
      <c r="AD5" s="8">
        <v>13938812.887789998</v>
      </c>
      <c r="AE5" s="8">
        <v>403657.5</v>
      </c>
      <c r="AF5" s="8">
        <f t="shared" si="2"/>
        <v>17583614.671363384</v>
      </c>
    </row>
    <row r="6" spans="1:32" x14ac:dyDescent="0.25">
      <c r="A6" s="5" t="s">
        <v>114</v>
      </c>
      <c r="B6" s="5" t="s">
        <v>211</v>
      </c>
      <c r="C6" s="8">
        <f t="shared" si="3"/>
        <v>539182.54084104812</v>
      </c>
      <c r="D6" s="8">
        <f t="shared" si="4"/>
        <v>1554270.8916</v>
      </c>
      <c r="E6" s="8">
        <f t="shared" si="5"/>
        <v>132676.95000000001</v>
      </c>
      <c r="F6" s="8">
        <f t="shared" si="6"/>
        <v>993148.54</v>
      </c>
      <c r="G6" s="8">
        <f t="shared" si="7"/>
        <v>441964.82775559928</v>
      </c>
      <c r="H6" s="8">
        <f t="shared" si="8"/>
        <v>1171923.5405533931</v>
      </c>
      <c r="I6" s="8">
        <v>1080891</v>
      </c>
      <c r="J6" s="8">
        <f>SUMIF(Vandværker!$G:$G,'Costdrivere 2025'!$A6&amp;"_1",Vandværker!$E:$E)</f>
        <v>0</v>
      </c>
      <c r="K6" s="8">
        <f>SUMIF(Vandværker!$G:$G,'Costdrivere 2025'!$A6&amp;"_2",Vandværker!$E:$E)</f>
        <v>1027943</v>
      </c>
      <c r="L6" s="8">
        <f>SUMIF(Vandværker!$G:$G,'Costdrivere 2025'!$A6&amp;"_3",Vandværker!$E:$E)</f>
        <v>0</v>
      </c>
      <c r="M6" s="8">
        <f>SUMIF(Vandværker!$G:$G,'Costdrivere 2025'!$A6&amp;"_4",Vandværker!$E:$E)</f>
        <v>0</v>
      </c>
      <c r="N6" s="8"/>
      <c r="O6" s="8">
        <v>4</v>
      </c>
      <c r="P6" s="8"/>
      <c r="Q6" s="8"/>
      <c r="R6" s="8">
        <v>126</v>
      </c>
      <c r="S6" s="8"/>
      <c r="T6" s="8"/>
      <c r="U6" s="8">
        <v>247</v>
      </c>
      <c r="V6" s="8">
        <v>3051</v>
      </c>
      <c r="W6" s="8">
        <v>952746</v>
      </c>
      <c r="X6" s="8">
        <v>953375</v>
      </c>
      <c r="Y6" s="8">
        <f t="shared" si="0"/>
        <v>1027943</v>
      </c>
      <c r="Z6" s="8">
        <v>4021</v>
      </c>
      <c r="AA6" s="8">
        <v>215.751</v>
      </c>
      <c r="AB6" s="8">
        <f t="shared" si="1"/>
        <v>1.863722531992899E-2</v>
      </c>
      <c r="AC6" s="8">
        <v>1192137.1202665879</v>
      </c>
      <c r="AD6" s="8">
        <v>3773192.9821333331</v>
      </c>
      <c r="AE6" s="8">
        <v>109000</v>
      </c>
      <c r="AF6" s="8">
        <f t="shared" si="2"/>
        <v>5074330.102399921</v>
      </c>
    </row>
    <row r="7" spans="1:32" x14ac:dyDescent="0.25">
      <c r="A7" s="5" t="s">
        <v>4</v>
      </c>
      <c r="B7" s="5" t="s">
        <v>584</v>
      </c>
      <c r="C7" s="8">
        <f t="shared" si="3"/>
        <v>455567.52811118029</v>
      </c>
      <c r="D7" s="8">
        <f t="shared" si="4"/>
        <v>1359979.4203999999</v>
      </c>
      <c r="E7" s="8">
        <f t="shared" si="5"/>
        <v>225446.55</v>
      </c>
      <c r="F7" s="8">
        <f t="shared" si="6"/>
        <v>2284373.83</v>
      </c>
      <c r="G7" s="8">
        <f t="shared" si="7"/>
        <v>916131.76729334588</v>
      </c>
      <c r="H7" s="8">
        <f t="shared" si="8"/>
        <v>1047043.8897613905</v>
      </c>
      <c r="I7" s="8">
        <v>898558</v>
      </c>
      <c r="J7" s="8">
        <f>SUMIF(Vandværker!$G:$G,'Costdrivere 2025'!$A7&amp;"_1",Vandværker!$E:$E)</f>
        <v>0</v>
      </c>
      <c r="K7" s="8">
        <f>SUMIF(Vandværker!$G:$G,'Costdrivere 2025'!$A7&amp;"_2",Vandværker!$E:$E)</f>
        <v>870571</v>
      </c>
      <c r="L7" s="8">
        <f>SUMIF(Vandværker!$G:$G,'Costdrivere 2025'!$A7&amp;"_3",Vandværker!$E:$E)</f>
        <v>0</v>
      </c>
      <c r="M7" s="8">
        <f>SUMIF(Vandværker!$G:$G,'Costdrivere 2025'!$A7&amp;"_4",Vandværker!$E:$E)</f>
        <v>0</v>
      </c>
      <c r="N7" s="8"/>
      <c r="O7" s="8">
        <v>8</v>
      </c>
      <c r="P7" s="8">
        <v>200</v>
      </c>
      <c r="Q7" s="8"/>
      <c r="R7" s="8">
        <v>87</v>
      </c>
      <c r="S7" s="8">
        <v>38</v>
      </c>
      <c r="T7" s="8"/>
      <c r="U7" s="8">
        <v>1035</v>
      </c>
      <c r="V7" s="8">
        <v>6826</v>
      </c>
      <c r="W7" s="8">
        <v>840397</v>
      </c>
      <c r="X7" s="8">
        <v>840396</v>
      </c>
      <c r="Y7" s="8">
        <f t="shared" si="0"/>
        <v>870571</v>
      </c>
      <c r="Z7" s="8">
        <v>6670</v>
      </c>
      <c r="AA7" s="8">
        <v>361.85300000000001</v>
      </c>
      <c r="AB7" s="8">
        <f t="shared" si="1"/>
        <v>1.8432899547606348E-2</v>
      </c>
      <c r="AC7" s="8">
        <v>1741292.3858363368</v>
      </c>
      <c r="AD7" s="8">
        <v>8019378.2043166663</v>
      </c>
      <c r="AE7" s="8">
        <v>652000</v>
      </c>
      <c r="AF7" s="8">
        <f t="shared" si="2"/>
        <v>10412670.590153003</v>
      </c>
    </row>
    <row r="8" spans="1:32" x14ac:dyDescent="0.25">
      <c r="A8" s="5" t="s">
        <v>5</v>
      </c>
      <c r="B8" s="5" t="s">
        <v>586</v>
      </c>
      <c r="C8" s="8">
        <f t="shared" si="3"/>
        <v>1200308.4041490182</v>
      </c>
      <c r="D8" s="8">
        <f t="shared" si="4"/>
        <v>5253457.2462999998</v>
      </c>
      <c r="E8" s="8">
        <f t="shared" si="5"/>
        <v>784084.75</v>
      </c>
      <c r="F8" s="8">
        <f t="shared" si="6"/>
        <v>4384170.1500000004</v>
      </c>
      <c r="G8" s="8">
        <f t="shared" si="7"/>
        <v>2250146.4859180269</v>
      </c>
      <c r="H8" s="8">
        <f t="shared" si="8"/>
        <v>2679725.7891612416</v>
      </c>
      <c r="I8" s="8">
        <v>2599162</v>
      </c>
      <c r="J8" s="8">
        <f>SUMIF(Vandværker!$G:$G,'Costdrivere 2025'!$A8&amp;"_1",Vandværker!$E:$E)</f>
        <v>0</v>
      </c>
      <c r="K8" s="8">
        <f>SUMIF(Vandværker!$G:$G,'Costdrivere 2025'!$A8&amp;"_2",Vandværker!$E:$E)</f>
        <v>0</v>
      </c>
      <c r="L8" s="8">
        <f>SUMIF(Vandværker!$G:$G,'Costdrivere 2025'!$A8&amp;"_3",Vandværker!$E:$E)</f>
        <v>2599155</v>
      </c>
      <c r="M8" s="8">
        <f>SUMIF(Vandværker!$G:$G,'Costdrivere 2025'!$A8&amp;"_4",Vandværker!$E:$E)</f>
        <v>0</v>
      </c>
      <c r="N8" s="8">
        <v>8</v>
      </c>
      <c r="O8" s="8">
        <v>22</v>
      </c>
      <c r="P8" s="8">
        <v>1400</v>
      </c>
      <c r="Q8" s="8">
        <v>490</v>
      </c>
      <c r="R8" s="8">
        <v>298</v>
      </c>
      <c r="S8" s="8">
        <v>47</v>
      </c>
      <c r="T8" s="8"/>
      <c r="U8" s="8">
        <v>1887</v>
      </c>
      <c r="V8" s="8">
        <v>18420</v>
      </c>
      <c r="W8" s="8">
        <v>2393135</v>
      </c>
      <c r="X8" s="8">
        <v>2393135</v>
      </c>
      <c r="Y8" s="8">
        <f t="shared" si="0"/>
        <v>2599155</v>
      </c>
      <c r="Z8" s="8">
        <v>32808</v>
      </c>
      <c r="AA8" s="8">
        <v>629.92200000000003</v>
      </c>
      <c r="AB8" s="8">
        <f t="shared" si="1"/>
        <v>5.20826388028994E-2</v>
      </c>
      <c r="AC8" s="8">
        <v>4466737.1758403359</v>
      </c>
      <c r="AD8" s="8">
        <v>15478274.254149999</v>
      </c>
      <c r="AE8" s="8">
        <v>398000</v>
      </c>
      <c r="AF8" s="8">
        <f t="shared" si="2"/>
        <v>20343011.429990336</v>
      </c>
    </row>
    <row r="9" spans="1:32" x14ac:dyDescent="0.25">
      <c r="A9" s="5" t="s">
        <v>7</v>
      </c>
      <c r="B9" s="5" t="s">
        <v>438</v>
      </c>
      <c r="C9" s="8">
        <f t="shared" si="3"/>
        <v>3515886.0173411397</v>
      </c>
      <c r="D9" s="8">
        <f t="shared" si="4"/>
        <v>11346095.079799999</v>
      </c>
      <c r="E9" s="8">
        <f t="shared" si="5"/>
        <v>420286.23</v>
      </c>
      <c r="F9" s="8">
        <f t="shared" si="6"/>
        <v>8000154.8700000001</v>
      </c>
      <c r="G9" s="8">
        <f t="shared" si="7"/>
        <v>4473058.8048430206</v>
      </c>
      <c r="H9" s="8">
        <f t="shared" si="8"/>
        <v>7825693.0914590787</v>
      </c>
      <c r="I9" s="8">
        <v>8444145</v>
      </c>
      <c r="J9" s="8">
        <f>SUMIF(Vandværker!$G:$G,'Costdrivere 2025'!$A9&amp;"_1",Vandværker!$E:$E)</f>
        <v>13683</v>
      </c>
      <c r="K9" s="8">
        <f>SUMIF(Vandværker!$G:$G,'Costdrivere 2025'!$A9&amp;"_2",Vandværker!$E:$E)</f>
        <v>5668446</v>
      </c>
      <c r="L9" s="8">
        <f>SUMIF(Vandværker!$G:$G,'Costdrivere 2025'!$A9&amp;"_3",Vandværker!$E:$E)</f>
        <v>1245122</v>
      </c>
      <c r="M9" s="8">
        <f>SUMIF(Vandværker!$G:$G,'Costdrivere 2025'!$A9&amp;"_4",Vandværker!$E:$E)</f>
        <v>1165488</v>
      </c>
      <c r="N9" s="8">
        <v>2</v>
      </c>
      <c r="O9" s="8">
        <v>12</v>
      </c>
      <c r="P9" s="8">
        <v>479</v>
      </c>
      <c r="Q9" s="8">
        <v>900</v>
      </c>
      <c r="R9" s="8">
        <v>674</v>
      </c>
      <c r="S9" s="8">
        <v>55</v>
      </c>
      <c r="T9" s="8"/>
      <c r="U9" s="8">
        <v>4077</v>
      </c>
      <c r="V9" s="8">
        <v>39349</v>
      </c>
      <c r="W9" s="8">
        <v>7893437</v>
      </c>
      <c r="X9" s="8">
        <v>7886956</v>
      </c>
      <c r="Y9" s="8">
        <f t="shared" si="0"/>
        <v>8092739</v>
      </c>
      <c r="Z9" s="8">
        <v>77809</v>
      </c>
      <c r="AA9" s="8">
        <v>1519.001873019733</v>
      </c>
      <c r="AB9" s="8">
        <f t="shared" si="1"/>
        <v>5.1223768306037636E-2</v>
      </c>
      <c r="AC9" s="8">
        <v>18161012.18324405</v>
      </c>
      <c r="AD9" s="8">
        <v>40356607.202564366</v>
      </c>
      <c r="AE9" s="8">
        <v>2513772.8078866918</v>
      </c>
      <c r="AF9" s="8">
        <f t="shared" si="2"/>
        <v>61031392.193695106</v>
      </c>
    </row>
    <row r="10" spans="1:32" x14ac:dyDescent="0.25">
      <c r="A10" s="5" t="s">
        <v>8</v>
      </c>
      <c r="B10" s="5" t="s">
        <v>226</v>
      </c>
      <c r="C10" s="8">
        <f t="shared" si="3"/>
        <v>949201.23202824045</v>
      </c>
      <c r="D10" s="8">
        <f t="shared" si="4"/>
        <v>2716846.7967999997</v>
      </c>
      <c r="E10" s="8">
        <f t="shared" si="5"/>
        <v>184155.45</v>
      </c>
      <c r="F10" s="8">
        <f t="shared" si="6"/>
        <v>1319724.7449999999</v>
      </c>
      <c r="G10" s="8">
        <f t="shared" si="7"/>
        <v>820588.67663451366</v>
      </c>
      <c r="H10" s="8">
        <f t="shared" si="8"/>
        <v>2101297.7339591389</v>
      </c>
      <c r="I10" s="8">
        <v>2009441</v>
      </c>
      <c r="J10" s="8">
        <f>SUMIF(Vandværker!$G:$G,'Costdrivere 2025'!$A10&amp;"_1",Vandværker!$E:$E)</f>
        <v>0</v>
      </c>
      <c r="K10" s="8">
        <f>SUMIF(Vandværker!$G:$G,'Costdrivere 2025'!$A10&amp;"_2",Vandværker!$E:$E)</f>
        <v>1969605</v>
      </c>
      <c r="L10" s="8">
        <f>SUMIF(Vandværker!$G:$G,'Costdrivere 2025'!$A10&amp;"_3",Vandværker!$E:$E)</f>
        <v>0</v>
      </c>
      <c r="M10" s="8">
        <f>SUMIF(Vandværker!$G:$G,'Costdrivere 2025'!$A10&amp;"_4",Vandværker!$E:$E)</f>
        <v>0</v>
      </c>
      <c r="N10" s="8"/>
      <c r="O10" s="8">
        <v>4</v>
      </c>
      <c r="P10" s="8">
        <v>125</v>
      </c>
      <c r="Q10" s="8">
        <v>475</v>
      </c>
      <c r="R10" s="8">
        <v>118.5</v>
      </c>
      <c r="S10" s="8">
        <v>3</v>
      </c>
      <c r="T10" s="8"/>
      <c r="U10" s="8">
        <v>1345</v>
      </c>
      <c r="V10" s="8">
        <v>6044</v>
      </c>
      <c r="W10" s="8">
        <v>1825448</v>
      </c>
      <c r="X10" s="8">
        <v>1825448</v>
      </c>
      <c r="Y10" s="8">
        <f t="shared" si="0"/>
        <v>1969605</v>
      </c>
      <c r="Z10" s="8">
        <v>10952</v>
      </c>
      <c r="AA10" s="8">
        <v>303.61156054032273</v>
      </c>
      <c r="AB10" s="8">
        <f t="shared" si="1"/>
        <v>3.6072407718959247E-2</v>
      </c>
      <c r="AC10" s="8">
        <v>1663858.287068401</v>
      </c>
      <c r="AD10" s="8">
        <v>6286057.8877884317</v>
      </c>
      <c r="AE10" s="8">
        <v>171295</v>
      </c>
      <c r="AF10" s="8">
        <f t="shared" si="2"/>
        <v>8121211.1748568323</v>
      </c>
    </row>
    <row r="11" spans="1:32" x14ac:dyDescent="0.25">
      <c r="A11" s="5" t="s">
        <v>9</v>
      </c>
      <c r="B11" s="5" t="s">
        <v>222</v>
      </c>
      <c r="C11" s="8">
        <f t="shared" si="3"/>
        <v>1373103.4950427781</v>
      </c>
      <c r="D11" s="8">
        <f t="shared" si="4"/>
        <v>3919785.1679999996</v>
      </c>
      <c r="E11" s="8">
        <f t="shared" si="5"/>
        <v>222200.15</v>
      </c>
      <c r="F11" s="8">
        <f t="shared" si="6"/>
        <v>3028457.1493000002</v>
      </c>
      <c r="G11" s="8">
        <f t="shared" si="7"/>
        <v>1989088.1713315058</v>
      </c>
      <c r="H11" s="8">
        <f t="shared" si="8"/>
        <v>2957957.9176067999</v>
      </c>
      <c r="I11" s="8">
        <v>3012124</v>
      </c>
      <c r="J11" s="8">
        <f>SUMIF(Vandværker!$G:$G,'Costdrivere 2025'!$A11&amp;"_1",Vandværker!$E:$E)</f>
        <v>0</v>
      </c>
      <c r="K11" s="8">
        <f>SUMIF(Vandværker!$G:$G,'Costdrivere 2025'!$A11&amp;"_2",Vandværker!$E:$E)</f>
        <v>2928477</v>
      </c>
      <c r="L11" s="8">
        <f>SUMIF(Vandværker!$G:$G,'Costdrivere 2025'!$A11&amp;"_3",Vandværker!$E:$E)</f>
        <v>10000</v>
      </c>
      <c r="M11" s="8">
        <f>SUMIF(Vandværker!$G:$G,'Costdrivere 2025'!$A11&amp;"_4",Vandværker!$E:$E)</f>
        <v>0</v>
      </c>
      <c r="N11" s="8">
        <v>3</v>
      </c>
      <c r="O11" s="8">
        <v>5</v>
      </c>
      <c r="P11" s="8">
        <v>180</v>
      </c>
      <c r="Q11" s="8"/>
      <c r="R11" s="8">
        <v>217.21</v>
      </c>
      <c r="S11" s="8">
        <v>29.46</v>
      </c>
      <c r="T11" s="8"/>
      <c r="U11" s="8">
        <v>1406</v>
      </c>
      <c r="V11" s="8">
        <v>16074</v>
      </c>
      <c r="W11" s="8">
        <v>2671418</v>
      </c>
      <c r="X11" s="8">
        <v>2671418</v>
      </c>
      <c r="Y11" s="8">
        <f t="shared" si="0"/>
        <v>2938477</v>
      </c>
      <c r="Z11" s="8">
        <v>36045</v>
      </c>
      <c r="AA11" s="8">
        <v>367.21609000000007</v>
      </c>
      <c r="AB11" s="8">
        <f t="shared" si="1"/>
        <v>9.8157463634014494E-2</v>
      </c>
      <c r="AC11" s="8">
        <v>5367547.1939281477</v>
      </c>
      <c r="AD11" s="8">
        <v>14074205.339489957</v>
      </c>
      <c r="AE11" s="8">
        <v>2198734</v>
      </c>
      <c r="AF11" s="8">
        <f t="shared" si="2"/>
        <v>21640486.533418104</v>
      </c>
    </row>
    <row r="12" spans="1:32" x14ac:dyDescent="0.25">
      <c r="A12" s="5" t="s">
        <v>10</v>
      </c>
      <c r="B12" s="5" t="s">
        <v>227</v>
      </c>
      <c r="C12" s="8">
        <f t="shared" si="3"/>
        <v>564064.74131385155</v>
      </c>
      <c r="D12" s="8">
        <f t="shared" si="4"/>
        <v>1641750.9438</v>
      </c>
      <c r="E12" s="8">
        <f t="shared" si="5"/>
        <v>202254.15000000002</v>
      </c>
      <c r="F12" s="8">
        <f t="shared" si="6"/>
        <v>1681812.7200999998</v>
      </c>
      <c r="G12" s="8">
        <f t="shared" si="7"/>
        <v>1462960.7524137285</v>
      </c>
      <c r="H12" s="8">
        <f t="shared" si="8"/>
        <v>2026205.1541980016</v>
      </c>
      <c r="I12" s="8">
        <v>1135699</v>
      </c>
      <c r="J12" s="8">
        <f>SUMIF(Vandværker!$G:$G,'Costdrivere 2025'!$A12&amp;"_1",Vandværker!$E:$E)</f>
        <v>0</v>
      </c>
      <c r="K12" s="8">
        <f>SUMIF(Vandværker!$G:$G,'Costdrivere 2025'!$A12&amp;"_2",Vandværker!$E:$E)</f>
        <v>1098800</v>
      </c>
      <c r="L12" s="8">
        <f>SUMIF(Vandværker!$G:$G,'Costdrivere 2025'!$A12&amp;"_3",Vandværker!$E:$E)</f>
        <v>0</v>
      </c>
      <c r="M12" s="8">
        <f>SUMIF(Vandværker!$G:$G,'Costdrivere 2025'!$A12&amp;"_4",Vandværker!$E:$E)</f>
        <v>0</v>
      </c>
      <c r="N12" s="8">
        <v>4</v>
      </c>
      <c r="O12" s="8">
        <v>3</v>
      </c>
      <c r="P12" s="8">
        <v>150</v>
      </c>
      <c r="Q12" s="8"/>
      <c r="R12" s="8">
        <v>195.91</v>
      </c>
      <c r="S12" s="8"/>
      <c r="T12" s="8"/>
      <c r="U12" s="8">
        <v>938</v>
      </c>
      <c r="V12" s="8">
        <v>11448</v>
      </c>
      <c r="W12" s="8">
        <v>1752952.55</v>
      </c>
      <c r="X12" s="8">
        <v>1752953</v>
      </c>
      <c r="Y12" s="8">
        <f t="shared" si="0"/>
        <v>1098800</v>
      </c>
      <c r="Z12" s="8">
        <v>20436</v>
      </c>
      <c r="AA12" s="8">
        <v>307.041</v>
      </c>
      <c r="AB12" s="8">
        <f t="shared" si="1"/>
        <v>6.6557886406049996E-2</v>
      </c>
      <c r="AC12" s="8">
        <v>1276664.1017968769</v>
      </c>
      <c r="AD12" s="8">
        <v>9926187.7807501648</v>
      </c>
      <c r="AE12" s="8">
        <v>21777</v>
      </c>
      <c r="AF12" s="8">
        <f t="shared" si="2"/>
        <v>11224628.882547041</v>
      </c>
    </row>
    <row r="13" spans="1:32" x14ac:dyDescent="0.25">
      <c r="A13" s="5" t="s">
        <v>11</v>
      </c>
      <c r="B13" s="5" t="s">
        <v>228</v>
      </c>
      <c r="C13" s="8">
        <f t="shared" si="3"/>
        <v>1109389.3363156393</v>
      </c>
      <c r="D13" s="8">
        <f t="shared" si="4"/>
        <v>8836904.2433000002</v>
      </c>
      <c r="E13" s="8">
        <f t="shared" si="5"/>
        <v>312933.55</v>
      </c>
      <c r="F13" s="8">
        <f t="shared" si="6"/>
        <v>5949206.6407000003</v>
      </c>
      <c r="G13" s="8">
        <f t="shared" si="7"/>
        <v>699662.6948467386</v>
      </c>
      <c r="H13" s="8">
        <f t="shared" si="8"/>
        <v>4987325.0261840727</v>
      </c>
      <c r="I13" s="8">
        <v>2384118</v>
      </c>
      <c r="J13" s="8">
        <f>SUMIF(Vandværker!$G:$G,'Costdrivere 2025'!$A13&amp;"_1",Vandværker!$E:$E)</f>
        <v>0</v>
      </c>
      <c r="K13" s="8">
        <f>SUMIF(Vandværker!$G:$G,'Costdrivere 2025'!$A13&amp;"_2",Vandværker!$E:$E)</f>
        <v>0</v>
      </c>
      <c r="L13" s="8">
        <f>SUMIF(Vandværker!$G:$G,'Costdrivere 2025'!$A13&amp;"_3",Vandværker!$E:$E)</f>
        <v>4473833</v>
      </c>
      <c r="M13" s="8">
        <f>SUMIF(Vandværker!$G:$G,'Costdrivere 2025'!$A13&amp;"_4",Vandværker!$E:$E)</f>
        <v>0</v>
      </c>
      <c r="N13" s="8"/>
      <c r="O13" s="8">
        <v>3</v>
      </c>
      <c r="P13" s="8">
        <v>900</v>
      </c>
      <c r="Q13" s="8">
        <v>750</v>
      </c>
      <c r="R13" s="8">
        <v>3.18</v>
      </c>
      <c r="S13" s="8">
        <v>14.64</v>
      </c>
      <c r="T13" s="8">
        <v>147.83000000000001</v>
      </c>
      <c r="U13" s="8">
        <v>36</v>
      </c>
      <c r="V13" s="8">
        <v>5068</v>
      </c>
      <c r="W13" s="8">
        <v>4779554</v>
      </c>
      <c r="X13" s="8">
        <v>4779554</v>
      </c>
      <c r="Y13" s="8">
        <f t="shared" si="0"/>
        <v>4473833</v>
      </c>
      <c r="Z13" s="8">
        <v>62717</v>
      </c>
      <c r="AA13" s="8">
        <v>166.55434</v>
      </c>
      <c r="AB13" s="8">
        <f t="shared" si="1"/>
        <v>0.37655578353587188</v>
      </c>
      <c r="AC13" s="8">
        <v>2570557.0858412692</v>
      </c>
      <c r="AD13" s="8">
        <v>8808747.6791478619</v>
      </c>
      <c r="AE13" s="8">
        <v>2749806</v>
      </c>
      <c r="AF13" s="8">
        <f t="shared" si="2"/>
        <v>14129110.76498913</v>
      </c>
    </row>
    <row r="14" spans="1:32" x14ac:dyDescent="0.25">
      <c r="A14" s="5" t="s">
        <v>12</v>
      </c>
      <c r="B14" s="5" t="s">
        <v>579</v>
      </c>
      <c r="C14" s="8">
        <f t="shared" si="3"/>
        <v>2198272.5281369006</v>
      </c>
      <c r="D14" s="8">
        <f t="shared" si="4"/>
        <v>7413415.8637999995</v>
      </c>
      <c r="E14" s="8">
        <f t="shared" si="5"/>
        <v>664326.67000000004</v>
      </c>
      <c r="F14" s="8">
        <f t="shared" si="6"/>
        <v>6138011.5366999991</v>
      </c>
      <c r="G14" s="8">
        <f t="shared" si="7"/>
        <v>3273365.4996070443</v>
      </c>
      <c r="H14" s="8">
        <f t="shared" si="8"/>
        <v>4573806.888651344</v>
      </c>
      <c r="I14" s="8">
        <v>5046000</v>
      </c>
      <c r="J14" s="8">
        <f>SUMIF(Vandværker!$G:$G,'Costdrivere 2025'!$A14&amp;"_1",Vandværker!$E:$E)</f>
        <v>0</v>
      </c>
      <c r="K14" s="8">
        <f>SUMIF(Vandværker!$G:$G,'Costdrivere 2025'!$A14&amp;"_2",Vandværker!$E:$E)</f>
        <v>3494000</v>
      </c>
      <c r="L14" s="8">
        <f>SUMIF(Vandværker!$G:$G,'Costdrivere 2025'!$A14&amp;"_3",Vandværker!$E:$E)</f>
        <v>1450000</v>
      </c>
      <c r="M14" s="8">
        <f>SUMIF(Vandværker!$G:$G,'Costdrivere 2025'!$A14&amp;"_4",Vandværker!$E:$E)</f>
        <v>30000</v>
      </c>
      <c r="N14" s="8">
        <v>16</v>
      </c>
      <c r="O14" s="8">
        <v>17</v>
      </c>
      <c r="P14" s="8">
        <v>225</v>
      </c>
      <c r="Q14" s="8">
        <v>882</v>
      </c>
      <c r="R14" s="8">
        <v>460</v>
      </c>
      <c r="S14" s="8">
        <v>16.61</v>
      </c>
      <c r="T14" s="8"/>
      <c r="U14" s="8">
        <v>8579</v>
      </c>
      <c r="V14" s="8">
        <v>27869</v>
      </c>
      <c r="W14" s="8">
        <v>4340381</v>
      </c>
      <c r="X14" s="8">
        <v>4340000</v>
      </c>
      <c r="Y14" s="8">
        <f t="shared" si="0"/>
        <v>4974000</v>
      </c>
      <c r="Z14" s="8">
        <v>41812</v>
      </c>
      <c r="AA14" s="8">
        <v>1362.8724538299998</v>
      </c>
      <c r="AB14" s="8">
        <f t="shared" si="1"/>
        <v>3.0679319904440221E-2</v>
      </c>
      <c r="AC14" s="8">
        <v>11415697.228732798</v>
      </c>
      <c r="AD14" s="8">
        <v>33600222.413776316</v>
      </c>
      <c r="AE14" s="8">
        <v>1354000</v>
      </c>
      <c r="AF14" s="8">
        <f t="shared" si="2"/>
        <v>46369919.642509118</v>
      </c>
    </row>
    <row r="15" spans="1:32" x14ac:dyDescent="0.25">
      <c r="A15" s="5" t="s">
        <v>13</v>
      </c>
      <c r="B15" s="5" t="s">
        <v>456</v>
      </c>
      <c r="C15" s="8">
        <f t="shared" si="3"/>
        <v>793958.20962477964</v>
      </c>
      <c r="D15" s="8">
        <f t="shared" si="4"/>
        <v>2165248.5049999999</v>
      </c>
      <c r="E15" s="8">
        <f t="shared" si="5"/>
        <v>220329.75</v>
      </c>
      <c r="F15" s="8">
        <f t="shared" si="6"/>
        <v>2431166.3880000003</v>
      </c>
      <c r="G15" s="8">
        <f t="shared" si="7"/>
        <v>1550950.1426305501</v>
      </c>
      <c r="H15" s="8">
        <f t="shared" si="8"/>
        <v>1630469.627459628</v>
      </c>
      <c r="I15" s="8">
        <v>1652114</v>
      </c>
      <c r="J15" s="8">
        <f>SUMIF(Vandværker!$G:$G,'Costdrivere 2025'!$A15&amp;"_1",Vandværker!$E:$E)</f>
        <v>0</v>
      </c>
      <c r="K15" s="8">
        <f>SUMIF(Vandværker!$G:$G,'Costdrivere 2025'!$A15&amp;"_2",Vandværker!$E:$E)</f>
        <v>1522822</v>
      </c>
      <c r="L15" s="8">
        <f>SUMIF(Vandværker!$G:$G,'Costdrivere 2025'!$A15&amp;"_3",Vandværker!$E:$E)</f>
        <v>0</v>
      </c>
      <c r="M15" s="8">
        <f>SUMIF(Vandværker!$G:$G,'Costdrivere 2025'!$A15&amp;"_4",Vandværker!$E:$E)</f>
        <v>0</v>
      </c>
      <c r="N15" s="8"/>
      <c r="O15" s="8">
        <v>4</v>
      </c>
      <c r="P15" s="8">
        <v>540</v>
      </c>
      <c r="Q15" s="8"/>
      <c r="R15" s="8">
        <v>123.7</v>
      </c>
      <c r="S15" s="8">
        <v>8.3000000000000007</v>
      </c>
      <c r="T15" s="8"/>
      <c r="U15" s="8">
        <v>4887</v>
      </c>
      <c r="V15" s="8">
        <v>12211</v>
      </c>
      <c r="W15" s="8">
        <v>1376196</v>
      </c>
      <c r="X15" s="8">
        <v>1376196</v>
      </c>
      <c r="Y15" s="8">
        <f t="shared" si="0"/>
        <v>1522822</v>
      </c>
      <c r="Z15" s="8">
        <v>18735</v>
      </c>
      <c r="AA15" s="8">
        <v>343.42922682925092</v>
      </c>
      <c r="AB15" s="8">
        <f t="shared" si="1"/>
        <v>5.4552724510295761E-2</v>
      </c>
      <c r="AC15" s="8">
        <v>2599381.4883330786</v>
      </c>
      <c r="AD15" s="8">
        <v>9175141.0491056889</v>
      </c>
      <c r="AE15" s="8">
        <v>664809.02539999993</v>
      </c>
      <c r="AF15" s="8">
        <f t="shared" si="2"/>
        <v>12439331.562838767</v>
      </c>
    </row>
    <row r="16" spans="1:32" x14ac:dyDescent="0.25">
      <c r="A16" s="5" t="s">
        <v>15</v>
      </c>
      <c r="B16" s="5" t="s">
        <v>463</v>
      </c>
      <c r="C16" s="8">
        <f t="shared" si="3"/>
        <v>929998.39731901069</v>
      </c>
      <c r="D16" s="8">
        <f t="shared" si="4"/>
        <v>2611982.3419999997</v>
      </c>
      <c r="E16" s="8">
        <f t="shared" si="5"/>
        <v>195436.71000000002</v>
      </c>
      <c r="F16" s="8">
        <f t="shared" si="6"/>
        <v>2587736.6908</v>
      </c>
      <c r="G16" s="8">
        <f t="shared" si="7"/>
        <v>1482150.0313635932</v>
      </c>
      <c r="H16" s="8">
        <f t="shared" si="8"/>
        <v>1969629.2419571562</v>
      </c>
      <c r="I16" s="8">
        <v>1964915</v>
      </c>
      <c r="J16" s="8">
        <f>SUMIF(Vandværker!$G:$G,'Costdrivere 2025'!$A16&amp;"_1",Vandværker!$E:$E)</f>
        <v>0</v>
      </c>
      <c r="K16" s="8">
        <f>SUMIF(Vandværker!$G:$G,'Costdrivere 2025'!$A16&amp;"_2",Vandværker!$E:$E)</f>
        <v>1884667</v>
      </c>
      <c r="L16" s="8">
        <f>SUMIF(Vandværker!$G:$G,'Costdrivere 2025'!$A16&amp;"_3",Vandværker!$E:$E)</f>
        <v>0</v>
      </c>
      <c r="M16" s="8">
        <f>SUMIF(Vandværker!$G:$G,'Costdrivere 2025'!$A16&amp;"_4",Vandværker!$E:$E)</f>
        <v>0</v>
      </c>
      <c r="N16" s="8">
        <v>2</v>
      </c>
      <c r="O16" s="8">
        <v>5</v>
      </c>
      <c r="P16" s="8">
        <v>108</v>
      </c>
      <c r="Q16" s="8"/>
      <c r="R16" s="8">
        <v>183.25</v>
      </c>
      <c r="S16" s="8">
        <v>31.39</v>
      </c>
      <c r="T16" s="8"/>
      <c r="U16" s="8">
        <v>360</v>
      </c>
      <c r="V16" s="8">
        <v>11614</v>
      </c>
      <c r="W16" s="8">
        <v>1698534</v>
      </c>
      <c r="X16" s="8">
        <v>1720522</v>
      </c>
      <c r="Y16" s="8">
        <f t="shared" si="0"/>
        <v>1884667</v>
      </c>
      <c r="Z16" s="8">
        <v>19885</v>
      </c>
      <c r="AA16" s="8">
        <v>254.42072999999999</v>
      </c>
      <c r="AB16" s="8">
        <f t="shared" si="1"/>
        <v>7.8157939410047297E-2</v>
      </c>
      <c r="AC16" s="8">
        <v>2271331.0489637041</v>
      </c>
      <c r="AD16" s="8">
        <v>9730760.8235931285</v>
      </c>
      <c r="AE16" s="8">
        <v>483072</v>
      </c>
      <c r="AF16" s="8">
        <f t="shared" si="2"/>
        <v>12485163.872556832</v>
      </c>
    </row>
    <row r="17" spans="1:32" x14ac:dyDescent="0.25">
      <c r="A17" s="5" t="s">
        <v>16</v>
      </c>
      <c r="B17" s="5" t="s">
        <v>469</v>
      </c>
      <c r="C17" s="8">
        <f t="shared" si="3"/>
        <v>1576310.8112314045</v>
      </c>
      <c r="D17" s="8">
        <f t="shared" si="4"/>
        <v>4170275.943</v>
      </c>
      <c r="E17" s="8">
        <f t="shared" si="5"/>
        <v>168184.15000000002</v>
      </c>
      <c r="F17" s="8">
        <f t="shared" si="6"/>
        <v>3887207.0840000003</v>
      </c>
      <c r="G17" s="8">
        <f t="shared" si="7"/>
        <v>1942320.0953577193</v>
      </c>
      <c r="H17" s="8">
        <f t="shared" si="8"/>
        <v>3698144.2420147983</v>
      </c>
      <c r="I17" s="8">
        <v>3504191</v>
      </c>
      <c r="J17" s="8">
        <f>SUMIF(Vandværker!$G:$G,'Costdrivere 2025'!$A17&amp;"_1",Vandværker!$E:$E)</f>
        <v>0</v>
      </c>
      <c r="K17" s="8">
        <f>SUMIF(Vandværker!$G:$G,'Costdrivere 2025'!$A17&amp;"_2",Vandværker!$E:$E)</f>
        <v>3146852</v>
      </c>
      <c r="L17" s="8">
        <f>SUMIF(Vandværker!$G:$G,'Costdrivere 2025'!$A17&amp;"_3",Vandværker!$E:$E)</f>
        <v>0</v>
      </c>
      <c r="M17" s="8">
        <f>SUMIF(Vandværker!$G:$G,'Costdrivere 2025'!$A17&amp;"_4",Vandværker!$E:$E)</f>
        <v>0</v>
      </c>
      <c r="N17" s="8">
        <v>2</v>
      </c>
      <c r="O17" s="8"/>
      <c r="P17" s="8"/>
      <c r="Q17" s="8">
        <v>1000</v>
      </c>
      <c r="R17" s="8">
        <v>241.5</v>
      </c>
      <c r="S17" s="8">
        <v>57.7</v>
      </c>
      <c r="T17" s="8"/>
      <c r="U17" s="8"/>
      <c r="V17" s="8">
        <v>15657</v>
      </c>
      <c r="W17" s="8">
        <v>3425710</v>
      </c>
      <c r="X17" s="8">
        <v>3427399</v>
      </c>
      <c r="Y17" s="8">
        <f t="shared" si="0"/>
        <v>3146852</v>
      </c>
      <c r="Z17" s="8">
        <v>42398</v>
      </c>
      <c r="AA17" s="8">
        <v>299.99147959596849</v>
      </c>
      <c r="AB17" s="8">
        <f t="shared" si="1"/>
        <v>0.14133068064833726</v>
      </c>
      <c r="AC17" s="8">
        <v>2171046.7973401342</v>
      </c>
      <c r="AD17" s="8">
        <v>12186170.045653842</v>
      </c>
      <c r="AE17" s="8">
        <v>1911108.9738</v>
      </c>
      <c r="AF17" s="8">
        <f t="shared" si="2"/>
        <v>16268325.816793976</v>
      </c>
    </row>
    <row r="18" spans="1:32" x14ac:dyDescent="0.25">
      <c r="A18" s="5" t="s">
        <v>17</v>
      </c>
      <c r="B18" s="5" t="s">
        <v>472</v>
      </c>
      <c r="C18" s="8">
        <f t="shared" si="3"/>
        <v>803210.97617141472</v>
      </c>
      <c r="D18" s="8">
        <f t="shared" si="4"/>
        <v>2453304.2200000002</v>
      </c>
      <c r="E18" s="8">
        <f t="shared" si="5"/>
        <v>266068.34999999998</v>
      </c>
      <c r="F18" s="8">
        <f t="shared" si="6"/>
        <v>3258790.1579999998</v>
      </c>
      <c r="G18" s="8">
        <f t="shared" si="7"/>
        <v>1523215.8406076252</v>
      </c>
      <c r="H18" s="8">
        <f t="shared" si="8"/>
        <v>3660468.3724648473</v>
      </c>
      <c r="I18" s="8">
        <v>1673235</v>
      </c>
      <c r="J18" s="8">
        <f>SUMIF(Vandværker!$G:$G,'Costdrivere 2025'!$A18&amp;"_1",Vandværker!$E:$E)</f>
        <v>0</v>
      </c>
      <c r="K18" s="8">
        <f>SUMIF(Vandværker!$G:$G,'Costdrivere 2025'!$A18&amp;"_2",Vandværker!$E:$E)</f>
        <v>524312</v>
      </c>
      <c r="L18" s="8">
        <f>SUMIF(Vandværker!$G:$G,'Costdrivere 2025'!$A18&amp;"_3",Vandværker!$E:$E)</f>
        <v>795614</v>
      </c>
      <c r="M18" s="8">
        <f>SUMIF(Vandværker!$G:$G,'Costdrivere 2025'!$A18&amp;"_4",Vandværker!$E:$E)</f>
        <v>0</v>
      </c>
      <c r="N18" s="8"/>
      <c r="O18" s="8"/>
      <c r="P18" s="8"/>
      <c r="Q18" s="8">
        <v>2950</v>
      </c>
      <c r="R18" s="8">
        <v>158</v>
      </c>
      <c r="S18" s="8">
        <v>57.4</v>
      </c>
      <c r="T18" s="8"/>
      <c r="U18" s="8"/>
      <c r="V18" s="8">
        <v>11970</v>
      </c>
      <c r="W18" s="8">
        <v>3386868</v>
      </c>
      <c r="X18" s="8">
        <v>3386868</v>
      </c>
      <c r="Y18" s="8">
        <f t="shared" si="0"/>
        <v>1319926</v>
      </c>
      <c r="Z18" s="8">
        <v>39974</v>
      </c>
      <c r="AA18" s="8">
        <v>221.52198659883706</v>
      </c>
      <c r="AB18" s="8">
        <f t="shared" si="1"/>
        <v>0.18045161391763112</v>
      </c>
      <c r="AC18" s="8">
        <v>1237308.8151537883</v>
      </c>
      <c r="AD18" s="8">
        <v>8853459.5951061491</v>
      </c>
      <c r="AE18" s="8">
        <v>1518819.575</v>
      </c>
      <c r="AF18" s="8">
        <f t="shared" si="2"/>
        <v>11609587.985259937</v>
      </c>
    </row>
    <row r="19" spans="1:32" x14ac:dyDescent="0.25">
      <c r="A19" s="5" t="s">
        <v>18</v>
      </c>
      <c r="B19" s="5" t="s">
        <v>580</v>
      </c>
      <c r="C19" s="8">
        <f t="shared" si="3"/>
        <v>680469.25666868465</v>
      </c>
      <c r="D19" s="8">
        <f t="shared" si="4"/>
        <v>2007522.182</v>
      </c>
      <c r="E19" s="8">
        <f t="shared" si="5"/>
        <v>0</v>
      </c>
      <c r="F19" s="8">
        <f t="shared" si="6"/>
        <v>1481936.4756</v>
      </c>
      <c r="G19" s="8">
        <f t="shared" si="7"/>
        <v>571901.03636973724</v>
      </c>
      <c r="H19" s="8">
        <f t="shared" si="8"/>
        <v>1548053.3347921488</v>
      </c>
      <c r="I19" s="8">
        <v>1395067</v>
      </c>
      <c r="J19" s="8">
        <f>SUMIF(Vandværker!$G:$G,'Costdrivere 2025'!$A19&amp;"_1",Vandværker!$E:$E)</f>
        <v>0</v>
      </c>
      <c r="K19" s="8">
        <f>SUMIF(Vandværker!$G:$G,'Costdrivere 2025'!$A19&amp;"_2",Vandværker!$E:$E)</f>
        <v>1395067</v>
      </c>
      <c r="L19" s="8">
        <f>SUMIF(Vandværker!$G:$G,'Costdrivere 2025'!$A19&amp;"_3",Vandværker!$E:$E)</f>
        <v>0</v>
      </c>
      <c r="M19" s="8">
        <f>SUMIF(Vandværker!$G:$G,'Costdrivere 2025'!$A19&amp;"_4",Vandværker!$E:$E)</f>
        <v>0</v>
      </c>
      <c r="N19" s="8"/>
      <c r="O19" s="8"/>
      <c r="P19" s="8"/>
      <c r="Q19" s="8"/>
      <c r="R19" s="8">
        <v>72.11</v>
      </c>
      <c r="S19" s="8">
        <v>26.05</v>
      </c>
      <c r="T19" s="8"/>
      <c r="U19" s="8"/>
      <c r="V19" s="8">
        <v>4056</v>
      </c>
      <c r="W19" s="8">
        <v>1298957</v>
      </c>
      <c r="X19" s="8">
        <v>1298957</v>
      </c>
      <c r="Y19" s="8">
        <f t="shared" si="0"/>
        <v>1395067</v>
      </c>
      <c r="Z19" s="8">
        <v>14759</v>
      </c>
      <c r="AA19" s="8">
        <v>98.695999999999998</v>
      </c>
      <c r="AB19" s="8">
        <f t="shared" si="1"/>
        <v>0.14954000162113965</v>
      </c>
      <c r="AC19" s="8">
        <v>1675088.6506601698</v>
      </c>
      <c r="AD19" s="8">
        <v>4027472.7696611378</v>
      </c>
      <c r="AE19" s="8">
        <v>740000</v>
      </c>
      <c r="AF19" s="8">
        <f t="shared" si="2"/>
        <v>6442561.4203213081</v>
      </c>
    </row>
    <row r="20" spans="1:32" x14ac:dyDescent="0.25">
      <c r="A20" s="5" t="s">
        <v>19</v>
      </c>
      <c r="B20" s="5" t="s">
        <v>223</v>
      </c>
      <c r="C20" s="8">
        <f t="shared" si="3"/>
        <v>914079.68722911237</v>
      </c>
      <c r="D20" s="8">
        <f t="shared" si="4"/>
        <v>2780332.9081999999</v>
      </c>
      <c r="E20" s="8">
        <f t="shared" si="5"/>
        <v>176723.75</v>
      </c>
      <c r="F20" s="8">
        <f t="shared" si="6"/>
        <v>4167868.5655</v>
      </c>
      <c r="G20" s="8">
        <f t="shared" si="7"/>
        <v>1578058.7931370093</v>
      </c>
      <c r="H20" s="8">
        <f t="shared" si="8"/>
        <v>2146714.7938813823</v>
      </c>
      <c r="I20" s="8">
        <v>1928071</v>
      </c>
      <c r="J20" s="8">
        <f>SUMIF(Vandværker!$G:$G,'Costdrivere 2025'!$A20&amp;"_1",Vandværker!$E:$E)</f>
        <v>0</v>
      </c>
      <c r="K20" s="8">
        <f>SUMIF(Vandværker!$G:$G,'Costdrivere 2025'!$A20&amp;"_2",Vandværker!$E:$E)</f>
        <v>1338328</v>
      </c>
      <c r="L20" s="8">
        <f>SUMIF(Vandværker!$G:$G,'Costdrivere 2025'!$A20&amp;"_3",Vandværker!$E:$E)</f>
        <v>0</v>
      </c>
      <c r="M20" s="8">
        <f>SUMIF(Vandværker!$G:$G,'Costdrivere 2025'!$A20&amp;"_4",Vandværker!$E:$E)</f>
        <v>589743</v>
      </c>
      <c r="N20" s="8"/>
      <c r="O20" s="8">
        <v>1</v>
      </c>
      <c r="P20" s="8">
        <v>550</v>
      </c>
      <c r="Q20" s="8"/>
      <c r="R20" s="8">
        <v>270.18</v>
      </c>
      <c r="S20" s="8">
        <v>59.31</v>
      </c>
      <c r="T20" s="8"/>
      <c r="U20" s="8">
        <v>40</v>
      </c>
      <c r="V20" s="8">
        <v>12447</v>
      </c>
      <c r="W20" s="8">
        <v>1869438</v>
      </c>
      <c r="X20" s="8">
        <v>1869438</v>
      </c>
      <c r="Y20" s="8">
        <f t="shared" si="0"/>
        <v>1928071</v>
      </c>
      <c r="Z20" s="8">
        <v>19778</v>
      </c>
      <c r="AA20" s="8">
        <v>338.30200000000002</v>
      </c>
      <c r="AB20" s="8">
        <f t="shared" si="1"/>
        <v>5.8462557123516855E-2</v>
      </c>
      <c r="AC20" s="8">
        <v>3275135.7304044971</v>
      </c>
      <c r="AD20" s="8">
        <v>21176211.348182913</v>
      </c>
      <c r="AE20" s="8">
        <v>486626</v>
      </c>
      <c r="AF20" s="8">
        <f t="shared" si="2"/>
        <v>24937973.078587409</v>
      </c>
    </row>
    <row r="21" spans="1:32" x14ac:dyDescent="0.25">
      <c r="A21" s="5" t="s">
        <v>20</v>
      </c>
      <c r="B21" s="5" t="s">
        <v>477</v>
      </c>
      <c r="C21" s="8">
        <f t="shared" si="3"/>
        <v>635710.59029170685</v>
      </c>
      <c r="D21" s="8">
        <f t="shared" si="4"/>
        <v>2011640.3470000001</v>
      </c>
      <c r="E21" s="8">
        <f t="shared" si="5"/>
        <v>87447.75</v>
      </c>
      <c r="F21" s="8">
        <f t="shared" si="6"/>
        <v>912830.9608</v>
      </c>
      <c r="G21" s="8">
        <f t="shared" si="7"/>
        <v>672990.78459349787</v>
      </c>
      <c r="H21" s="8">
        <f t="shared" si="8"/>
        <v>1399990.5600355861</v>
      </c>
      <c r="I21" s="8">
        <v>1294787</v>
      </c>
      <c r="J21" s="8">
        <f>SUMIF(Vandværker!$G:$G,'Costdrivere 2025'!$A21&amp;"_1",Vandværker!$E:$E)</f>
        <v>0</v>
      </c>
      <c r="K21" s="8">
        <f>SUMIF(Vandværker!$G:$G,'Costdrivere 2025'!$A21&amp;"_2",Vandværker!$E:$E)</f>
        <v>0</v>
      </c>
      <c r="L21" s="8">
        <f>SUMIF(Vandværker!$G:$G,'Costdrivere 2025'!$A21&amp;"_3",Vandværker!$E:$E)</f>
        <v>0</v>
      </c>
      <c r="M21" s="8">
        <f>SUMIF(Vandværker!$G:$G,'Costdrivere 2025'!$A21&amp;"_4",Vandværker!$E:$E)</f>
        <v>1207996</v>
      </c>
      <c r="N21" s="8"/>
      <c r="O21" s="8">
        <v>1</v>
      </c>
      <c r="P21" s="8"/>
      <c r="Q21" s="8"/>
      <c r="R21" s="8">
        <v>103.28</v>
      </c>
      <c r="S21" s="8"/>
      <c r="T21" s="8"/>
      <c r="U21" s="8">
        <v>600</v>
      </c>
      <c r="V21" s="8">
        <v>4855</v>
      </c>
      <c r="W21" s="8">
        <v>1161381</v>
      </c>
      <c r="X21" s="8">
        <v>1207996</v>
      </c>
      <c r="Y21" s="8">
        <f t="shared" si="0"/>
        <v>1207996</v>
      </c>
      <c r="Z21" s="8">
        <v>7300</v>
      </c>
      <c r="AA21" s="8">
        <v>258.30700000000002</v>
      </c>
      <c r="AB21" s="8">
        <f t="shared" si="1"/>
        <v>2.8260945309263784E-2</v>
      </c>
      <c r="AC21" s="8">
        <v>2162697.902398074</v>
      </c>
      <c r="AD21" s="8">
        <v>5308675.2515933318</v>
      </c>
      <c r="AE21" s="8">
        <v>35000</v>
      </c>
      <c r="AF21" s="8">
        <f t="shared" si="2"/>
        <v>7506373.1539914059</v>
      </c>
    </row>
    <row r="22" spans="1:32" x14ac:dyDescent="0.25">
      <c r="A22" s="5" t="s">
        <v>21</v>
      </c>
      <c r="B22" s="5" t="s">
        <v>229</v>
      </c>
      <c r="C22" s="8">
        <f t="shared" si="3"/>
        <v>691240.40068546729</v>
      </c>
      <c r="D22" s="8">
        <f t="shared" si="4"/>
        <v>2009383.9587999999</v>
      </c>
      <c r="E22" s="8">
        <f t="shared" si="5"/>
        <v>0</v>
      </c>
      <c r="F22" s="8">
        <f t="shared" si="6"/>
        <v>2011879.3452999999</v>
      </c>
      <c r="G22" s="8">
        <f t="shared" si="7"/>
        <v>1338151.1211696675</v>
      </c>
      <c r="H22" s="8">
        <f t="shared" si="8"/>
        <v>1490104.4374410966</v>
      </c>
      <c r="I22" s="8">
        <v>1419296</v>
      </c>
      <c r="J22" s="8">
        <f>SUMIF(Vandværker!$G:$G,'Costdrivere 2025'!$A22&amp;"_1",Vandværker!$E:$E)</f>
        <v>0</v>
      </c>
      <c r="K22" s="8">
        <f>SUMIF(Vandværker!$G:$G,'Costdrivere 2025'!$A22&amp;"_2",Vandværker!$E:$E)</f>
        <v>1396575</v>
      </c>
      <c r="L22" s="8">
        <f>SUMIF(Vandværker!$G:$G,'Costdrivere 2025'!$A22&amp;"_3",Vandværker!$E:$E)</f>
        <v>0</v>
      </c>
      <c r="M22" s="8">
        <f>SUMIF(Vandværker!$G:$G,'Costdrivere 2025'!$A22&amp;"_4",Vandværker!$E:$E)</f>
        <v>0</v>
      </c>
      <c r="N22" s="8"/>
      <c r="O22" s="8"/>
      <c r="P22" s="8"/>
      <c r="Q22" s="8"/>
      <c r="R22" s="8">
        <v>140.22999999999999</v>
      </c>
      <c r="S22" s="8">
        <v>17</v>
      </c>
      <c r="T22" s="8"/>
      <c r="U22" s="8">
        <v>1432</v>
      </c>
      <c r="V22" s="8">
        <v>10374</v>
      </c>
      <c r="W22" s="8">
        <v>1244926</v>
      </c>
      <c r="X22" s="8">
        <v>1244926</v>
      </c>
      <c r="Y22" s="8">
        <f t="shared" si="0"/>
        <v>1396575</v>
      </c>
      <c r="Z22" s="8">
        <v>19367</v>
      </c>
      <c r="AA22" s="8">
        <v>259.745</v>
      </c>
      <c r="AB22" s="8">
        <f t="shared" si="1"/>
        <v>7.4561589250996166E-2</v>
      </c>
      <c r="AC22" s="8">
        <v>3782196.6895102779</v>
      </c>
      <c r="AD22" s="8">
        <v>8402749.1733333319</v>
      </c>
      <c r="AE22" s="8">
        <v>165000</v>
      </c>
      <c r="AF22" s="8">
        <f t="shared" si="2"/>
        <v>12349945.86284361</v>
      </c>
    </row>
    <row r="23" spans="1:32" x14ac:dyDescent="0.25">
      <c r="A23" s="5" t="s">
        <v>22</v>
      </c>
      <c r="B23" s="5" t="s">
        <v>581</v>
      </c>
      <c r="C23" s="8">
        <f t="shared" si="3"/>
        <v>913836.2329231624</v>
      </c>
      <c r="D23" s="8">
        <f t="shared" si="4"/>
        <v>2296208.7000000002</v>
      </c>
      <c r="E23" s="8">
        <f t="shared" si="5"/>
        <v>192982.55</v>
      </c>
      <c r="F23" s="8">
        <f t="shared" si="6"/>
        <v>5082668.2990000006</v>
      </c>
      <c r="G23" s="8">
        <f t="shared" si="7"/>
        <v>1460878.408348457</v>
      </c>
      <c r="H23" s="8">
        <f t="shared" si="8"/>
        <v>1749285.4235756723</v>
      </c>
      <c r="I23" s="8">
        <v>1927508</v>
      </c>
      <c r="J23" s="8">
        <f>SUMIF(Vandværker!$G:$G,'Costdrivere 2025'!$A23&amp;"_1",Vandværker!$E:$E)</f>
        <v>0</v>
      </c>
      <c r="K23" s="8">
        <f>SUMIF(Vandværker!$G:$G,'Costdrivere 2025'!$A23&amp;"_2",Vandværker!$E:$E)</f>
        <v>1628897</v>
      </c>
      <c r="L23" s="8">
        <f>SUMIF(Vandværker!$G:$G,'Costdrivere 2025'!$A23&amp;"_3",Vandværker!$E:$E)</f>
        <v>0</v>
      </c>
      <c r="M23" s="8">
        <f>SUMIF(Vandværker!$G:$G,'Costdrivere 2025'!$A23&amp;"_4",Vandværker!$E:$E)</f>
        <v>0</v>
      </c>
      <c r="N23" s="8"/>
      <c r="O23" s="8">
        <v>8</v>
      </c>
      <c r="P23" s="8"/>
      <c r="Q23" s="8"/>
      <c r="R23" s="8">
        <v>281</v>
      </c>
      <c r="S23" s="8">
        <v>76.7</v>
      </c>
      <c r="T23" s="8"/>
      <c r="U23" s="8">
        <v>851</v>
      </c>
      <c r="V23" s="8">
        <v>11430</v>
      </c>
      <c r="W23" s="8">
        <v>1488326</v>
      </c>
      <c r="X23" s="8">
        <v>1495962</v>
      </c>
      <c r="Y23" s="8">
        <f t="shared" si="0"/>
        <v>1628897</v>
      </c>
      <c r="Z23" s="8">
        <v>22860</v>
      </c>
      <c r="AA23" s="8">
        <v>539.02118000000007</v>
      </c>
      <c r="AB23" s="8">
        <f t="shared" si="1"/>
        <v>4.2410207331741584E-2</v>
      </c>
      <c r="AC23" s="8">
        <v>2595070.3065799372</v>
      </c>
      <c r="AD23" s="8">
        <v>12494567.207541667</v>
      </c>
      <c r="AE23" s="8">
        <v>483000</v>
      </c>
      <c r="AF23" s="8">
        <f t="shared" si="2"/>
        <v>15572637.514121603</v>
      </c>
    </row>
    <row r="24" spans="1:32" x14ac:dyDescent="0.25">
      <c r="A24" s="5" t="s">
        <v>23</v>
      </c>
      <c r="B24" s="5" t="s">
        <v>212</v>
      </c>
      <c r="C24" s="8">
        <f t="shared" si="3"/>
        <v>1563213.8522549302</v>
      </c>
      <c r="D24" s="8">
        <f t="shared" si="4"/>
        <v>4540361.6517999992</v>
      </c>
      <c r="E24" s="8">
        <f t="shared" si="5"/>
        <v>229133.75</v>
      </c>
      <c r="F24" s="8">
        <f t="shared" si="6"/>
        <v>4373448.34</v>
      </c>
      <c r="G24" s="8">
        <f t="shared" si="7"/>
        <v>2404960.8311590357</v>
      </c>
      <c r="H24" s="8">
        <f t="shared" si="8"/>
        <v>3276793.3887775051</v>
      </c>
      <c r="I24" s="8">
        <v>3472283</v>
      </c>
      <c r="J24" s="8">
        <f>SUMIF(Vandværker!$G:$G,'Costdrivere 2025'!$A24&amp;"_1",Vandværker!$E:$E)</f>
        <v>0</v>
      </c>
      <c r="K24" s="8">
        <f>SUMIF(Vandværker!$G:$G,'Costdrivere 2025'!$A24&amp;"_2",Vandværker!$E:$E)</f>
        <v>2356620</v>
      </c>
      <c r="L24" s="8">
        <f>SUMIF(Vandværker!$G:$G,'Costdrivere 2025'!$A24&amp;"_3",Vandværker!$E:$E)</f>
        <v>0</v>
      </c>
      <c r="M24" s="8">
        <f>SUMIF(Vandværker!$G:$G,'Costdrivere 2025'!$A24&amp;"_4",Vandværker!$E:$E)</f>
        <v>941580</v>
      </c>
      <c r="N24" s="8">
        <v>2</v>
      </c>
      <c r="O24" s="8"/>
      <c r="P24" s="8">
        <v>780</v>
      </c>
      <c r="Q24" s="8"/>
      <c r="R24" s="8">
        <v>314</v>
      </c>
      <c r="S24" s="8">
        <v>48</v>
      </c>
      <c r="T24" s="8"/>
      <c r="U24" s="8">
        <v>1221</v>
      </c>
      <c r="V24" s="8">
        <v>19825</v>
      </c>
      <c r="W24" s="8">
        <v>2993978</v>
      </c>
      <c r="X24" s="8">
        <v>2993966</v>
      </c>
      <c r="Y24" s="8">
        <f t="shared" si="0"/>
        <v>3298200</v>
      </c>
      <c r="Z24" s="8">
        <v>19298</v>
      </c>
      <c r="AA24" s="8">
        <v>724.70819999999992</v>
      </c>
      <c r="AB24" s="8">
        <f t="shared" si="1"/>
        <v>2.6628648606432218E-2</v>
      </c>
      <c r="AC24" s="8">
        <v>5518623.3347780434</v>
      </c>
      <c r="AD24" s="8">
        <v>17161887.981866661</v>
      </c>
      <c r="AE24" s="8">
        <v>770000</v>
      </c>
      <c r="AF24" s="8">
        <f t="shared" si="2"/>
        <v>23450511.316644706</v>
      </c>
    </row>
    <row r="25" spans="1:32" x14ac:dyDescent="0.25">
      <c r="A25" s="5" t="s">
        <v>24</v>
      </c>
      <c r="B25" s="5" t="s">
        <v>230</v>
      </c>
      <c r="C25" s="8">
        <f t="shared" si="3"/>
        <v>778691.89066378342</v>
      </c>
      <c r="D25" s="8">
        <f t="shared" si="4"/>
        <v>2452177.2394000003</v>
      </c>
      <c r="E25" s="8">
        <f t="shared" si="5"/>
        <v>195715.19</v>
      </c>
      <c r="F25" s="8">
        <f t="shared" si="6"/>
        <v>1388601.2389</v>
      </c>
      <c r="G25" s="8">
        <f t="shared" si="7"/>
        <v>872040.07288306078</v>
      </c>
      <c r="H25" s="8">
        <f t="shared" si="8"/>
        <v>2367189.9041127721</v>
      </c>
      <c r="I25" s="8">
        <v>1617318</v>
      </c>
      <c r="J25" s="8">
        <f>SUMIF(Vandværker!$G:$G,'Costdrivere 2025'!$A25&amp;"_1",Vandværker!$E:$E)</f>
        <v>0</v>
      </c>
      <c r="K25" s="8">
        <f>SUMIF(Vandværker!$G:$G,'Costdrivere 2025'!$A25&amp;"_2",Vandværker!$E:$E)</f>
        <v>1293446</v>
      </c>
      <c r="L25" s="8">
        <f>SUMIF(Vandværker!$G:$G,'Costdrivere 2025'!$A25&amp;"_3",Vandværker!$E:$E)</f>
        <v>298256</v>
      </c>
      <c r="M25" s="8">
        <f>SUMIF(Vandværker!$G:$G,'Costdrivere 2025'!$A25&amp;"_4",Vandværker!$E:$E)</f>
        <v>0</v>
      </c>
      <c r="N25" s="8"/>
      <c r="O25" s="8">
        <v>1</v>
      </c>
      <c r="P25" s="8">
        <v>667</v>
      </c>
      <c r="Q25" s="8"/>
      <c r="R25" s="8">
        <v>115.76</v>
      </c>
      <c r="S25" s="8">
        <v>11.99</v>
      </c>
      <c r="T25" s="8"/>
      <c r="U25" s="8">
        <v>386</v>
      </c>
      <c r="V25" s="8">
        <v>6464</v>
      </c>
      <c r="W25" s="8">
        <v>2084455.01</v>
      </c>
      <c r="X25" s="8">
        <v>2047639.21</v>
      </c>
      <c r="Y25" s="8">
        <f t="shared" si="0"/>
        <v>1591702</v>
      </c>
      <c r="Z25" s="8">
        <v>13984</v>
      </c>
      <c r="AA25" s="8">
        <v>182.18727242476331</v>
      </c>
      <c r="AB25" s="8">
        <f t="shared" si="1"/>
        <v>7.6756185072010888E-2</v>
      </c>
      <c r="AC25" s="8">
        <v>3388115.1726054628</v>
      </c>
      <c r="AD25" s="8">
        <v>6696456.4711346114</v>
      </c>
      <c r="AE25" s="8">
        <v>610511</v>
      </c>
      <c r="AF25" s="8">
        <f t="shared" si="2"/>
        <v>10695082.643740075</v>
      </c>
    </row>
    <row r="26" spans="1:32" x14ac:dyDescent="0.25">
      <c r="A26" s="5" t="s">
        <v>25</v>
      </c>
      <c r="B26" s="5" t="s">
        <v>221</v>
      </c>
      <c r="C26" s="8">
        <f t="shared" si="3"/>
        <v>1690201.7855475051</v>
      </c>
      <c r="D26" s="8">
        <f t="shared" si="4"/>
        <v>6148024.3925999999</v>
      </c>
      <c r="E26" s="8">
        <f t="shared" si="5"/>
        <v>333072.15000000002</v>
      </c>
      <c r="F26" s="8">
        <f t="shared" si="6"/>
        <v>4020993.4741999996</v>
      </c>
      <c r="G26" s="8">
        <f t="shared" si="7"/>
        <v>2453884.0046038874</v>
      </c>
      <c r="H26" s="8">
        <f t="shared" si="8"/>
        <v>3351905.0823729089</v>
      </c>
      <c r="I26" s="8">
        <v>3782720</v>
      </c>
      <c r="J26" s="8">
        <f>SUMIF(Vandværker!$G:$G,'Costdrivere 2025'!$A26&amp;"_1",Vandværker!$E:$E)</f>
        <v>0</v>
      </c>
      <c r="K26" s="8">
        <f>SUMIF(Vandværker!$G:$G,'Costdrivere 2025'!$A26&amp;"_2",Vandværker!$E:$E)</f>
        <v>678363</v>
      </c>
      <c r="L26" s="8">
        <f>SUMIF(Vandværker!$G:$G,'Costdrivere 2025'!$A26&amp;"_3",Vandværker!$E:$E)</f>
        <v>2629006</v>
      </c>
      <c r="M26" s="8">
        <f>SUMIF(Vandværker!$G:$G,'Costdrivere 2025'!$A26&amp;"_4",Vandværker!$E:$E)</f>
        <v>0</v>
      </c>
      <c r="N26" s="8">
        <v>2</v>
      </c>
      <c r="O26" s="8">
        <v>14</v>
      </c>
      <c r="P26" s="8">
        <v>120</v>
      </c>
      <c r="Q26" s="8"/>
      <c r="R26" s="8">
        <v>263.64999999999998</v>
      </c>
      <c r="S26" s="8">
        <v>12.41</v>
      </c>
      <c r="T26" s="8"/>
      <c r="U26" s="8">
        <v>6518</v>
      </c>
      <c r="V26" s="8">
        <v>20271</v>
      </c>
      <c r="W26" s="8">
        <v>3070501</v>
      </c>
      <c r="X26" s="8">
        <v>3000816</v>
      </c>
      <c r="Y26" s="8">
        <f t="shared" si="0"/>
        <v>3307369</v>
      </c>
      <c r="Z26" s="8">
        <v>31795</v>
      </c>
      <c r="AA26" s="8">
        <v>871.53800000000001</v>
      </c>
      <c r="AB26" s="8">
        <f t="shared" si="1"/>
        <v>3.6481484456214186E-2</v>
      </c>
      <c r="AC26" s="8">
        <v>6756748.7110418919</v>
      </c>
      <c r="AD26" s="8">
        <v>21864412.070766665</v>
      </c>
      <c r="AE26" s="8">
        <v>2993000</v>
      </c>
      <c r="AF26" s="8">
        <f t="shared" si="2"/>
        <v>31614160.781808555</v>
      </c>
    </row>
    <row r="27" spans="1:32" x14ac:dyDescent="0.25">
      <c r="A27" s="5" t="s">
        <v>26</v>
      </c>
      <c r="B27" s="5" t="s">
        <v>231</v>
      </c>
      <c r="C27" s="8">
        <f t="shared" si="3"/>
        <v>27200.045359285101</v>
      </c>
      <c r="D27" s="8">
        <f t="shared" si="4"/>
        <v>0</v>
      </c>
      <c r="E27" s="8">
        <f t="shared" si="5"/>
        <v>0</v>
      </c>
      <c r="F27" s="8">
        <f t="shared" si="6"/>
        <v>1180140.1057</v>
      </c>
      <c r="G27" s="8">
        <f t="shared" si="7"/>
        <v>1054551.8724112459</v>
      </c>
      <c r="H27" s="8">
        <f t="shared" si="8"/>
        <v>1411427.2607258104</v>
      </c>
      <c r="I27" s="8">
        <v>40889</v>
      </c>
      <c r="J27" s="8">
        <f>SUMIF(Vandværker!$G:$G,'Costdrivere 2025'!$A27&amp;"_1",Vandværker!$E:$E)</f>
        <v>0</v>
      </c>
      <c r="K27" s="8">
        <f>SUMIF(Vandværker!$G:$G,'Costdrivere 2025'!$A27&amp;"_2",Vandværker!$E:$E)</f>
        <v>0</v>
      </c>
      <c r="L27" s="8">
        <f>SUMIF(Vandværker!$G:$G,'Costdrivere 2025'!$A27&amp;"_3",Vandværker!$E:$E)</f>
        <v>0</v>
      </c>
      <c r="M27" s="8">
        <f>SUMIF(Vandværker!$G:$G,'Costdrivere 2025'!$A27&amp;"_4",Vandværker!$E:$E)</f>
        <v>0</v>
      </c>
      <c r="N27" s="8"/>
      <c r="O27" s="8"/>
      <c r="P27" s="8"/>
      <c r="Q27" s="8"/>
      <c r="R27" s="8">
        <v>67.83</v>
      </c>
      <c r="S27" s="8">
        <v>17.52</v>
      </c>
      <c r="T27" s="8"/>
      <c r="U27" s="8">
        <v>163</v>
      </c>
      <c r="V27" s="8">
        <v>7974</v>
      </c>
      <c r="W27" s="8">
        <v>1171951</v>
      </c>
      <c r="X27" s="8">
        <v>1176714</v>
      </c>
      <c r="Y27" s="8">
        <f t="shared" si="0"/>
        <v>0</v>
      </c>
      <c r="Z27" s="8">
        <v>15971</v>
      </c>
      <c r="AA27" s="8">
        <v>92.289588304652568</v>
      </c>
      <c r="AB27" s="8">
        <f t="shared" si="1"/>
        <v>0.17305310700139787</v>
      </c>
      <c r="AC27" s="8">
        <v>311278.99048725871</v>
      </c>
      <c r="AD27" s="8">
        <v>4494888.2825227715</v>
      </c>
      <c r="AE27" s="8">
        <v>36295</v>
      </c>
      <c r="AF27" s="8">
        <f t="shared" si="2"/>
        <v>4842462.2730100304</v>
      </c>
    </row>
    <row r="28" spans="1:32" x14ac:dyDescent="0.25">
      <c r="A28" s="5" t="s">
        <v>27</v>
      </c>
      <c r="B28" s="5" t="s">
        <v>232</v>
      </c>
      <c r="C28" s="8">
        <f t="shared" si="3"/>
        <v>368183.90404878941</v>
      </c>
      <c r="D28" s="8">
        <f t="shared" si="4"/>
        <v>3919820.8997999998</v>
      </c>
      <c r="E28" s="8">
        <f t="shared" si="5"/>
        <v>183684.15000000002</v>
      </c>
      <c r="F28" s="8">
        <f t="shared" si="6"/>
        <v>1548515.5915999999</v>
      </c>
      <c r="G28" s="8">
        <f t="shared" si="7"/>
        <v>800653.61858249793</v>
      </c>
      <c r="H28" s="8">
        <f t="shared" si="8"/>
        <v>2080665.9505487618</v>
      </c>
      <c r="I28" s="8">
        <v>711451</v>
      </c>
      <c r="J28" s="8">
        <f>SUMIF(Vandværker!$G:$G,'Costdrivere 2025'!$A28&amp;"_1",Vandværker!$E:$E)</f>
        <v>0</v>
      </c>
      <c r="K28" s="8">
        <f>SUMIF(Vandværker!$G:$G,'Costdrivere 2025'!$A28&amp;"_2",Vandværker!$E:$E)</f>
        <v>0</v>
      </c>
      <c r="L28" s="8">
        <f>SUMIF(Vandværker!$G:$G,'Costdrivere 2025'!$A28&amp;"_3",Vandværker!$E:$E)</f>
        <v>1901464</v>
      </c>
      <c r="M28" s="8">
        <f>SUMIF(Vandværker!$G:$G,'Costdrivere 2025'!$A28&amp;"_4",Vandværker!$E:$E)</f>
        <v>0</v>
      </c>
      <c r="N28" s="8"/>
      <c r="O28" s="8">
        <v>2</v>
      </c>
      <c r="P28" s="8">
        <v>500</v>
      </c>
      <c r="Q28" s="8"/>
      <c r="R28" s="8">
        <v>119.55</v>
      </c>
      <c r="S28" s="8">
        <v>16.13</v>
      </c>
      <c r="T28" s="8"/>
      <c r="U28" s="8">
        <v>310</v>
      </c>
      <c r="V28" s="8">
        <v>5882</v>
      </c>
      <c r="W28" s="8">
        <v>1805500</v>
      </c>
      <c r="X28" s="8">
        <v>1812604</v>
      </c>
      <c r="Y28" s="8">
        <f t="shared" si="0"/>
        <v>1901464</v>
      </c>
      <c r="Z28" s="8">
        <v>22490</v>
      </c>
      <c r="AA28" s="8">
        <v>144.87421925472378</v>
      </c>
      <c r="AB28" s="8">
        <f t="shared" si="1"/>
        <v>0.15523811010471891</v>
      </c>
      <c r="AC28" s="8">
        <v>1698826.2885756546</v>
      </c>
      <c r="AD28" s="8">
        <v>5196425.8227351094</v>
      </c>
      <c r="AE28" s="8">
        <v>50813</v>
      </c>
      <c r="AF28" s="8">
        <f t="shared" si="2"/>
        <v>6946065.1113107642</v>
      </c>
    </row>
    <row r="29" spans="1:32" x14ac:dyDescent="0.25">
      <c r="A29" s="5" t="s">
        <v>28</v>
      </c>
      <c r="B29" s="5" t="s">
        <v>233</v>
      </c>
      <c r="C29" s="8">
        <f t="shared" si="3"/>
        <v>0</v>
      </c>
      <c r="D29" s="8">
        <f t="shared" si="4"/>
        <v>0</v>
      </c>
      <c r="E29" s="8">
        <f t="shared" si="5"/>
        <v>213589.75</v>
      </c>
      <c r="F29" s="8">
        <f t="shared" si="6"/>
        <v>1239599.2342999999</v>
      </c>
      <c r="G29" s="8">
        <f t="shared" si="7"/>
        <v>754552.90609460301</v>
      </c>
      <c r="H29" s="8">
        <f t="shared" si="8"/>
        <v>1731539.3342485132</v>
      </c>
      <c r="I29" s="8"/>
      <c r="J29" s="8">
        <f>SUMIF(Vandværker!$G:$G,'Costdrivere 2025'!$A29&amp;"_1",Vandværker!$E:$E)</f>
        <v>0</v>
      </c>
      <c r="K29" s="8">
        <f>SUMIF(Vandværker!$G:$G,'Costdrivere 2025'!$A29&amp;"_2",Vandværker!$E:$E)</f>
        <v>0</v>
      </c>
      <c r="L29" s="8">
        <f>SUMIF(Vandværker!$G:$G,'Costdrivere 2025'!$A29&amp;"_3",Vandværker!$E:$E)</f>
        <v>0</v>
      </c>
      <c r="M29" s="8">
        <f>SUMIF(Vandværker!$G:$G,'Costdrivere 2025'!$A29&amp;"_4",Vandværker!$E:$E)</f>
        <v>0</v>
      </c>
      <c r="N29" s="8"/>
      <c r="O29" s="8"/>
      <c r="P29" s="8">
        <v>870</v>
      </c>
      <c r="Q29" s="8"/>
      <c r="R29" s="8">
        <v>82.05</v>
      </c>
      <c r="S29" s="8">
        <v>16.04</v>
      </c>
      <c r="T29" s="8"/>
      <c r="U29" s="8">
        <v>196</v>
      </c>
      <c r="V29" s="8">
        <v>5509</v>
      </c>
      <c r="W29" s="8">
        <v>1471522</v>
      </c>
      <c r="X29" s="8">
        <v>1497520</v>
      </c>
      <c r="Y29" s="8">
        <f t="shared" si="0"/>
        <v>0</v>
      </c>
      <c r="Z29" s="8">
        <v>18660</v>
      </c>
      <c r="AA29" s="8">
        <v>105.11048399928809</v>
      </c>
      <c r="AB29" s="8">
        <f t="shared" si="1"/>
        <v>0.17752748622227238</v>
      </c>
      <c r="AC29" s="8">
        <v>18673.515516682339</v>
      </c>
      <c r="AD29" s="8">
        <v>4653890.1389026949</v>
      </c>
      <c r="AE29" s="8">
        <v>29036</v>
      </c>
      <c r="AF29" s="8">
        <f t="shared" si="2"/>
        <v>4701599.6544193774</v>
      </c>
    </row>
    <row r="30" spans="1:32" x14ac:dyDescent="0.25">
      <c r="A30" s="5" t="s">
        <v>29</v>
      </c>
      <c r="B30" s="5" t="s">
        <v>234</v>
      </c>
      <c r="C30" s="8">
        <f t="shared" si="3"/>
        <v>75893.514817977499</v>
      </c>
      <c r="D30" s="8">
        <f t="shared" si="4"/>
        <v>0</v>
      </c>
      <c r="E30" s="8">
        <f t="shared" si="5"/>
        <v>104835.35</v>
      </c>
      <c r="F30" s="8">
        <f t="shared" si="6"/>
        <v>2453844.23</v>
      </c>
      <c r="G30" s="8">
        <f t="shared" si="7"/>
        <v>1304595.8834115884</v>
      </c>
      <c r="H30" s="8">
        <f t="shared" si="8"/>
        <v>3339596.812444678</v>
      </c>
      <c r="I30" s="8">
        <v>125947</v>
      </c>
      <c r="J30" s="8">
        <f>SUMIF(Vandværker!$G:$G,'Costdrivere 2025'!$A30&amp;"_1",Vandværker!$E:$E)</f>
        <v>0</v>
      </c>
      <c r="K30" s="8">
        <f>SUMIF(Vandværker!$G:$G,'Costdrivere 2025'!$A30&amp;"_2",Vandværker!$E:$E)</f>
        <v>0</v>
      </c>
      <c r="L30" s="8">
        <f>SUMIF(Vandværker!$G:$G,'Costdrivere 2025'!$A30&amp;"_3",Vandværker!$E:$E)</f>
        <v>0</v>
      </c>
      <c r="M30" s="8">
        <f>SUMIF(Vandværker!$G:$G,'Costdrivere 2025'!$A30&amp;"_4",Vandværker!$E:$E)</f>
        <v>0</v>
      </c>
      <c r="N30" s="8"/>
      <c r="O30" s="8"/>
      <c r="P30" s="8">
        <v>200</v>
      </c>
      <c r="Q30" s="8"/>
      <c r="R30" s="8">
        <v>163.41</v>
      </c>
      <c r="S30" s="8">
        <v>32.67</v>
      </c>
      <c r="T30" s="8"/>
      <c r="U30" s="8">
        <v>224</v>
      </c>
      <c r="V30" s="8">
        <v>10087</v>
      </c>
      <c r="W30" s="8">
        <v>3057948</v>
      </c>
      <c r="X30" s="8">
        <v>3092239</v>
      </c>
      <c r="Y30" s="8">
        <f t="shared" si="0"/>
        <v>0</v>
      </c>
      <c r="Z30" s="8">
        <v>29798</v>
      </c>
      <c r="AA30" s="8">
        <v>200.34861412991458</v>
      </c>
      <c r="AB30" s="8">
        <f t="shared" si="1"/>
        <v>0.14873075179186271</v>
      </c>
      <c r="AC30" s="8">
        <v>1119589.774791745</v>
      </c>
      <c r="AD30" s="8">
        <v>7849124.716896873</v>
      </c>
      <c r="AE30" s="8">
        <v>58072</v>
      </c>
      <c r="AF30" s="8">
        <f t="shared" si="2"/>
        <v>9026786.4916886184</v>
      </c>
    </row>
    <row r="31" spans="1:32" x14ac:dyDescent="0.25">
      <c r="A31" s="5" t="s">
        <v>30</v>
      </c>
      <c r="B31" s="5" t="s">
        <v>235</v>
      </c>
      <c r="C31" s="8">
        <f t="shared" si="3"/>
        <v>19404644.81448409</v>
      </c>
      <c r="D31" s="8">
        <f t="shared" si="4"/>
        <v>90229881.475800008</v>
      </c>
      <c r="E31" s="8">
        <f t="shared" si="5"/>
        <v>2738837.77</v>
      </c>
      <c r="F31" s="8">
        <f t="shared" si="6"/>
        <v>24290611.599399999</v>
      </c>
      <c r="G31" s="8">
        <f t="shared" si="7"/>
        <v>4192126.0839183303</v>
      </c>
      <c r="H31" s="8">
        <f t="shared" si="8"/>
        <v>42341885.066661902</v>
      </c>
      <c r="I31" s="8">
        <v>54944148</v>
      </c>
      <c r="J31" s="8">
        <f>SUMIF(Vandværker!$G:$G,'Costdrivere 2025'!$A31&amp;"_1",Vandværker!$E:$E)</f>
        <v>0</v>
      </c>
      <c r="K31" s="8">
        <f>SUMIF(Vandværker!$G:$G,'Costdrivere 2025'!$A31&amp;"_2",Vandværker!$E:$E)</f>
        <v>17232900</v>
      </c>
      <c r="L31" s="8">
        <f>SUMIF(Vandværker!$G:$G,'Costdrivere 2025'!$A31&amp;"_3",Vandværker!$E:$E)</f>
        <v>35924128</v>
      </c>
      <c r="M31" s="8">
        <f>SUMIF(Vandværker!$G:$G,'Costdrivere 2025'!$A31&amp;"_4",Vandværker!$E:$E)</f>
        <v>0</v>
      </c>
      <c r="N31" s="8"/>
      <c r="O31" s="8">
        <v>75</v>
      </c>
      <c r="P31" s="8">
        <v>2970</v>
      </c>
      <c r="Q31" s="8">
        <v>16047</v>
      </c>
      <c r="R31" s="8">
        <v>401.71</v>
      </c>
      <c r="S31" s="8">
        <v>232.53</v>
      </c>
      <c r="T31" s="8">
        <v>340.26</v>
      </c>
      <c r="U31" s="8">
        <v>1853</v>
      </c>
      <c r="V31" s="8">
        <v>36628</v>
      </c>
      <c r="W31" s="8">
        <v>51736849</v>
      </c>
      <c r="X31" s="8">
        <v>31575983</v>
      </c>
      <c r="Y31" s="8">
        <f t="shared" si="0"/>
        <v>53157028</v>
      </c>
      <c r="Z31" s="8">
        <v>440017</v>
      </c>
      <c r="AA31" s="8">
        <v>1079.066877095267</v>
      </c>
      <c r="AB31" s="8">
        <f t="shared" si="1"/>
        <v>0.4077754672485906</v>
      </c>
      <c r="AC31" s="8">
        <v>67732160.572381914</v>
      </c>
      <c r="AD31" s="8">
        <v>75916731.894796729</v>
      </c>
      <c r="AE31" s="8">
        <v>1248850</v>
      </c>
      <c r="AF31" s="8">
        <f t="shared" si="2"/>
        <v>144897742.46717864</v>
      </c>
    </row>
    <row r="32" spans="1:32" x14ac:dyDescent="0.25">
      <c r="A32" s="5" t="s">
        <v>31</v>
      </c>
      <c r="B32" s="5" t="s">
        <v>236</v>
      </c>
      <c r="C32" s="8">
        <f t="shared" si="3"/>
        <v>211976.93514201522</v>
      </c>
      <c r="D32" s="8">
        <f t="shared" si="4"/>
        <v>764993.5808</v>
      </c>
      <c r="E32" s="8">
        <f t="shared" si="5"/>
        <v>202227.35</v>
      </c>
      <c r="F32" s="8">
        <f t="shared" si="6"/>
        <v>1584037.8374999999</v>
      </c>
      <c r="G32" s="8">
        <f t="shared" si="7"/>
        <v>953229.60613035981</v>
      </c>
      <c r="H32" s="8">
        <f t="shared" si="8"/>
        <v>2086306.0996458209</v>
      </c>
      <c r="I32" s="8">
        <v>388384</v>
      </c>
      <c r="J32" s="8">
        <f>SUMIF(Vandværker!$G:$G,'Costdrivere 2025'!$A32&amp;"_1",Vandværker!$E:$E)</f>
        <v>0</v>
      </c>
      <c r="K32" s="8">
        <f>SUMIF(Vandværker!$G:$G,'Costdrivere 2025'!$A32&amp;"_2",Vandværker!$E:$E)</f>
        <v>388645</v>
      </c>
      <c r="L32" s="8">
        <f>SUMIF(Vandværker!$G:$G,'Costdrivere 2025'!$A32&amp;"_3",Vandværker!$E:$E)</f>
        <v>0</v>
      </c>
      <c r="M32" s="8">
        <f>SUMIF(Vandværker!$G:$G,'Costdrivere 2025'!$A32&amp;"_4",Vandværker!$E:$E)</f>
        <v>0</v>
      </c>
      <c r="N32" s="8"/>
      <c r="O32" s="8"/>
      <c r="P32" s="8">
        <v>800</v>
      </c>
      <c r="Q32" s="8"/>
      <c r="R32" s="8">
        <v>93.91</v>
      </c>
      <c r="S32" s="8">
        <v>24.31</v>
      </c>
      <c r="T32" s="8">
        <v>0.11</v>
      </c>
      <c r="U32" s="8">
        <v>1</v>
      </c>
      <c r="V32" s="8">
        <v>7132</v>
      </c>
      <c r="W32" s="8">
        <v>1810951</v>
      </c>
      <c r="X32" s="8">
        <v>1834328</v>
      </c>
      <c r="Y32" s="8">
        <f t="shared" si="0"/>
        <v>388645</v>
      </c>
      <c r="Z32" s="8">
        <v>24434</v>
      </c>
      <c r="AA32" s="8">
        <v>118.60724159677353</v>
      </c>
      <c r="AB32" s="8">
        <f t="shared" si="1"/>
        <v>0.20600765746722058</v>
      </c>
      <c r="AC32" s="8">
        <v>665363.87988152681</v>
      </c>
      <c r="AD32" s="8">
        <v>4762256.8280559434</v>
      </c>
      <c r="AE32" s="8">
        <v>43554</v>
      </c>
      <c r="AF32" s="8">
        <f t="shared" si="2"/>
        <v>5471174.7079374697</v>
      </c>
    </row>
    <row r="33" spans="1:32" x14ac:dyDescent="0.25">
      <c r="A33" s="5" t="s">
        <v>32</v>
      </c>
      <c r="B33" s="5" t="s">
        <v>224</v>
      </c>
      <c r="C33" s="8">
        <f t="shared" si="3"/>
        <v>949520.4862580956</v>
      </c>
      <c r="D33" s="8">
        <f t="shared" si="4"/>
        <v>2708888.5652000001</v>
      </c>
      <c r="E33" s="8">
        <f t="shared" si="5"/>
        <v>87447.75</v>
      </c>
      <c r="F33" s="8">
        <f t="shared" si="6"/>
        <v>2194505.44</v>
      </c>
      <c r="G33" s="8">
        <f t="shared" si="7"/>
        <v>1156878.613812722</v>
      </c>
      <c r="H33" s="8">
        <f t="shared" si="8"/>
        <v>2037844.8681591498</v>
      </c>
      <c r="I33" s="8">
        <v>2010182</v>
      </c>
      <c r="J33" s="8">
        <f>SUMIF(Vandværker!$G:$G,'Costdrivere 2025'!$A33&amp;"_1",Vandværker!$E:$E)</f>
        <v>0</v>
      </c>
      <c r="K33" s="8">
        <f>SUMIF(Vandværker!$G:$G,'Costdrivere 2025'!$A33&amp;"_2",Vandværker!$E:$E)</f>
        <v>1963159</v>
      </c>
      <c r="L33" s="8">
        <f>SUMIF(Vandværker!$G:$G,'Costdrivere 2025'!$A33&amp;"_3",Vandværker!$E:$E)</f>
        <v>0</v>
      </c>
      <c r="M33" s="8">
        <f>SUMIF(Vandværker!$G:$G,'Costdrivere 2025'!$A33&amp;"_4",Vandværker!$E:$E)</f>
        <v>0</v>
      </c>
      <c r="N33" s="8"/>
      <c r="O33" s="8">
        <v>1</v>
      </c>
      <c r="P33" s="8"/>
      <c r="Q33" s="8"/>
      <c r="R33" s="8">
        <v>130</v>
      </c>
      <c r="S33" s="8">
        <v>30</v>
      </c>
      <c r="T33" s="8"/>
      <c r="U33" s="8">
        <v>566</v>
      </c>
      <c r="V33" s="8">
        <v>8833</v>
      </c>
      <c r="W33" s="8">
        <v>1764170</v>
      </c>
      <c r="X33" s="8">
        <v>1764170</v>
      </c>
      <c r="Y33" s="8">
        <f t="shared" si="0"/>
        <v>1963159</v>
      </c>
      <c r="Z33" s="8">
        <v>21262</v>
      </c>
      <c r="AA33" s="8">
        <v>231.28475</v>
      </c>
      <c r="AB33" s="8">
        <f t="shared" si="1"/>
        <v>9.1929969442429732E-2</v>
      </c>
      <c r="AC33" s="8">
        <v>2709729.5754753421</v>
      </c>
      <c r="AD33" s="8">
        <v>7736443.6352400007</v>
      </c>
      <c r="AE33" s="8">
        <v>244367</v>
      </c>
      <c r="AF33" s="8">
        <f t="shared" si="2"/>
        <v>10690540.210715342</v>
      </c>
    </row>
    <row r="34" spans="1:32" x14ac:dyDescent="0.25">
      <c r="A34" s="5" t="s">
        <v>33</v>
      </c>
      <c r="B34" s="5" t="s">
        <v>237</v>
      </c>
      <c r="C34" s="8">
        <f t="shared" si="3"/>
        <v>2079485.2129530292</v>
      </c>
      <c r="D34" s="8">
        <f t="shared" si="4"/>
        <v>6049154.4221999999</v>
      </c>
      <c r="E34" s="8">
        <f t="shared" si="5"/>
        <v>640916.37</v>
      </c>
      <c r="F34" s="8">
        <f t="shared" si="6"/>
        <v>4711115.1825000001</v>
      </c>
      <c r="G34" s="8">
        <f t="shared" si="7"/>
        <v>2179591.8450770262</v>
      </c>
      <c r="H34" s="8">
        <f t="shared" si="8"/>
        <v>4442925.1815791838</v>
      </c>
      <c r="I34" s="8">
        <v>4747845</v>
      </c>
      <c r="J34" s="8">
        <f>SUMIF(Vandværker!$G:$G,'Costdrivere 2025'!$A34&amp;"_1",Vandværker!$E:$E)</f>
        <v>0</v>
      </c>
      <c r="K34" s="8">
        <f>SUMIF(Vandværker!$G:$G,'Costdrivere 2025'!$A34&amp;"_2",Vandværker!$E:$E)</f>
        <v>4668704</v>
      </c>
      <c r="L34" s="8">
        <f>SUMIF(Vandværker!$G:$G,'Costdrivere 2025'!$A34&amp;"_3",Vandværker!$E:$E)</f>
        <v>0</v>
      </c>
      <c r="M34" s="8">
        <f>SUMIF(Vandværker!$G:$G,'Costdrivere 2025'!$A34&amp;"_4",Vandværker!$E:$E)</f>
        <v>0</v>
      </c>
      <c r="N34" s="8">
        <v>6</v>
      </c>
      <c r="O34" s="8">
        <v>8</v>
      </c>
      <c r="P34" s="8">
        <v>1710</v>
      </c>
      <c r="Q34" s="8">
        <v>1217</v>
      </c>
      <c r="R34" s="8">
        <v>298.77</v>
      </c>
      <c r="S34" s="8">
        <v>60.74</v>
      </c>
      <c r="T34" s="8"/>
      <c r="U34" s="8">
        <v>1166</v>
      </c>
      <c r="V34" s="8">
        <v>17783</v>
      </c>
      <c r="W34" s="8">
        <v>4202298</v>
      </c>
      <c r="X34" s="8">
        <v>4202298</v>
      </c>
      <c r="Y34" s="8">
        <f t="shared" si="0"/>
        <v>4668704</v>
      </c>
      <c r="Z34" s="8">
        <v>39700</v>
      </c>
      <c r="AA34" s="8">
        <v>507.50254999999999</v>
      </c>
      <c r="AB34" s="8">
        <f t="shared" si="1"/>
        <v>7.8226207927428154E-2</v>
      </c>
      <c r="AC34" s="8">
        <v>5410850.3703109352</v>
      </c>
      <c r="AD34" s="8">
        <v>16233533.350387888</v>
      </c>
      <c r="AE34" s="8">
        <v>427000</v>
      </c>
      <c r="AF34" s="8">
        <f t="shared" si="2"/>
        <v>22071383.720698822</v>
      </c>
    </row>
    <row r="35" spans="1:32" x14ac:dyDescent="0.25">
      <c r="A35" s="5" t="s">
        <v>34</v>
      </c>
      <c r="B35" s="5" t="s">
        <v>499</v>
      </c>
      <c r="C35" s="8">
        <f t="shared" si="3"/>
        <v>380413.96501694666</v>
      </c>
      <c r="D35" s="8">
        <f t="shared" si="4"/>
        <v>1148898.6237999999</v>
      </c>
      <c r="E35" s="8">
        <f t="shared" si="5"/>
        <v>308993.37</v>
      </c>
      <c r="F35" s="8">
        <f t="shared" si="6"/>
        <v>2461087.6885999995</v>
      </c>
      <c r="G35" s="8">
        <f t="shared" si="7"/>
        <v>1179144.8578890301</v>
      </c>
      <c r="H35" s="8">
        <f t="shared" si="8"/>
        <v>2605299.9983995506</v>
      </c>
      <c r="I35" s="8">
        <v>737402</v>
      </c>
      <c r="J35" s="8">
        <f>SUMIF(Vandværker!$G:$G,'Costdrivere 2025'!$A35&amp;"_1",Vandværker!$E:$E)</f>
        <v>0</v>
      </c>
      <c r="K35" s="8">
        <f>SUMIF(Vandværker!$G:$G,'Costdrivere 2025'!$A35&amp;"_2",Vandværker!$E:$E)</f>
        <v>699600</v>
      </c>
      <c r="L35" s="8">
        <f>SUMIF(Vandværker!$G:$G,'Costdrivere 2025'!$A35&amp;"_3",Vandværker!$E:$E)</f>
        <v>0</v>
      </c>
      <c r="M35" s="8">
        <f>SUMIF(Vandværker!$G:$G,'Costdrivere 2025'!$A35&amp;"_4",Vandværker!$E:$E)</f>
        <v>0</v>
      </c>
      <c r="N35" s="8">
        <v>1</v>
      </c>
      <c r="O35" s="8">
        <v>1</v>
      </c>
      <c r="P35" s="8">
        <v>376</v>
      </c>
      <c r="Q35" s="8">
        <v>2215</v>
      </c>
      <c r="R35" s="8">
        <v>146.44</v>
      </c>
      <c r="S35" s="8">
        <v>35.659999999999997</v>
      </c>
      <c r="T35" s="8"/>
      <c r="U35" s="8">
        <v>320</v>
      </c>
      <c r="V35" s="8">
        <v>9021</v>
      </c>
      <c r="W35" s="8">
        <v>2319237</v>
      </c>
      <c r="X35" s="8">
        <v>2283148</v>
      </c>
      <c r="Y35" s="8">
        <f t="shared" ref="Y35:Y66" si="9">SUM(J35:M35)</f>
        <v>699600</v>
      </c>
      <c r="Z35" s="8">
        <v>28731</v>
      </c>
      <c r="AA35" s="8">
        <v>212.01100000000002</v>
      </c>
      <c r="AB35" s="8">
        <f t="shared" ref="AB35:AB66" si="10">IF(AA35&gt;0,Z35/AA35/1000,0)</f>
        <v>0.13551655338638088</v>
      </c>
      <c r="AC35" s="8">
        <v>476560.3430477982</v>
      </c>
      <c r="AD35" s="8">
        <v>8212100.1891505597</v>
      </c>
      <c r="AE35" s="8">
        <v>385331</v>
      </c>
      <c r="AF35" s="8">
        <f t="shared" ref="AF35:AF66" si="11">SUM(AC35:AE35)</f>
        <v>9073991.5321983583</v>
      </c>
    </row>
    <row r="36" spans="1:32" x14ac:dyDescent="0.25">
      <c r="A36" s="5" t="s">
        <v>35</v>
      </c>
      <c r="B36" s="5" t="s">
        <v>582</v>
      </c>
      <c r="C36" s="8">
        <f t="shared" si="3"/>
        <v>0</v>
      </c>
      <c r="D36" s="8">
        <f t="shared" si="4"/>
        <v>0</v>
      </c>
      <c r="E36" s="8">
        <f t="shared" si="5"/>
        <v>104835.35</v>
      </c>
      <c r="F36" s="8">
        <f t="shared" si="6"/>
        <v>1223957.219</v>
      </c>
      <c r="G36" s="8">
        <f t="shared" si="7"/>
        <v>972808.21089788713</v>
      </c>
      <c r="H36" s="8">
        <f t="shared" si="8"/>
        <v>1452950.6954018965</v>
      </c>
      <c r="I36" s="8"/>
      <c r="J36" s="8">
        <f>SUMIF(Vandværker!$G:$G,'Costdrivere 2025'!$A36&amp;"_1",Vandværker!$E:$E)</f>
        <v>0</v>
      </c>
      <c r="K36" s="8">
        <f>SUMIF(Vandværker!$G:$G,'Costdrivere 2025'!$A36&amp;"_2",Vandværker!$E:$E)</f>
        <v>0</v>
      </c>
      <c r="L36" s="8">
        <f>SUMIF(Vandværker!$G:$G,'Costdrivere 2025'!$A36&amp;"_3",Vandværker!$E:$E)</f>
        <v>0</v>
      </c>
      <c r="M36" s="8">
        <f>SUMIF(Vandværker!$G:$G,'Costdrivere 2025'!$A36&amp;"_4",Vandværker!$E:$E)</f>
        <v>0</v>
      </c>
      <c r="N36" s="8"/>
      <c r="O36" s="8"/>
      <c r="P36" s="8">
        <v>200</v>
      </c>
      <c r="Q36" s="8"/>
      <c r="R36" s="8">
        <v>115.4</v>
      </c>
      <c r="S36" s="8">
        <v>9.5</v>
      </c>
      <c r="T36" s="8"/>
      <c r="U36" s="8">
        <v>99</v>
      </c>
      <c r="V36" s="8">
        <v>7294</v>
      </c>
      <c r="W36" s="8">
        <v>1210409</v>
      </c>
      <c r="X36" s="8">
        <v>1210409</v>
      </c>
      <c r="Y36" s="8">
        <f t="shared" si="9"/>
        <v>0</v>
      </c>
      <c r="Z36" s="8">
        <v>14431</v>
      </c>
      <c r="AA36" s="8">
        <v>143.80050132218125</v>
      </c>
      <c r="AB36" s="8">
        <f t="shared" si="10"/>
        <v>0.10035430938914269</v>
      </c>
      <c r="AC36" s="8">
        <v>225364.04278193839</v>
      </c>
      <c r="AD36" s="8">
        <v>5052370.6294665467</v>
      </c>
      <c r="AE36" s="8">
        <v>449570.59419999993</v>
      </c>
      <c r="AF36" s="8">
        <f t="shared" si="11"/>
        <v>5727305.2664484857</v>
      </c>
    </row>
    <row r="37" spans="1:32" x14ac:dyDescent="0.25">
      <c r="A37" s="5" t="s">
        <v>37</v>
      </c>
      <c r="B37" s="5" t="s">
        <v>692</v>
      </c>
      <c r="C37" s="8">
        <f t="shared" si="3"/>
        <v>448928.31466309552</v>
      </c>
      <c r="D37" s="8">
        <f t="shared" si="4"/>
        <v>1357946.0341999999</v>
      </c>
      <c r="E37" s="8">
        <f t="shared" si="5"/>
        <v>141920.15000000002</v>
      </c>
      <c r="F37" s="8">
        <f>IF(SUM(R37:U37)=0,0,7395.11*R37+36417.47*(S37+T37)+248.44*U37)</f>
        <v>1392285.3299999998</v>
      </c>
      <c r="G37" s="8">
        <f t="shared" si="7"/>
        <v>997645.1099539561</v>
      </c>
      <c r="H37" s="8">
        <f t="shared" si="8"/>
        <v>1040742.8263990484</v>
      </c>
      <c r="I37" s="8">
        <v>884211</v>
      </c>
      <c r="J37" s="8">
        <f>SUMIF(Vandværker!$G:$G,'Costdrivere 2025'!$A37&amp;"_1",Vandværker!$E:$E)</f>
        <v>0</v>
      </c>
      <c r="K37" s="8">
        <f>SUMIF(Vandværker!$G:$G,'Costdrivere 2025'!$A37&amp;"_2",Vandværker!$E:$E)</f>
        <v>868924</v>
      </c>
      <c r="L37" s="8">
        <f>SUMIF(Vandværker!$G:$G,'Costdrivere 2025'!$A37&amp;"_3",Vandværker!$E:$E)</f>
        <v>0</v>
      </c>
      <c r="M37" s="8">
        <f>SUMIF(Vandværker!$G:$G,'Costdrivere 2025'!$A37&amp;"_4",Vandværker!$E:$E)</f>
        <v>0</v>
      </c>
      <c r="N37" s="8">
        <v>2</v>
      </c>
      <c r="O37" s="8"/>
      <c r="P37" s="8"/>
      <c r="Q37" s="8">
        <v>600</v>
      </c>
      <c r="R37" s="8">
        <v>135</v>
      </c>
      <c r="S37" s="8">
        <v>8</v>
      </c>
      <c r="T37" s="8"/>
      <c r="U37" s="8">
        <v>413</v>
      </c>
      <c r="V37" s="8">
        <v>7500</v>
      </c>
      <c r="W37" s="8">
        <v>834767</v>
      </c>
      <c r="X37" s="8">
        <v>834767</v>
      </c>
      <c r="Y37" s="8">
        <f t="shared" si="9"/>
        <v>868924</v>
      </c>
      <c r="Z37" s="8">
        <v>7423</v>
      </c>
      <c r="AA37" s="8">
        <v>221.501</v>
      </c>
      <c r="AB37" s="8">
        <f t="shared" si="10"/>
        <v>3.3512264052983957E-2</v>
      </c>
      <c r="AC37" s="8">
        <v>1566769.2908805956</v>
      </c>
      <c r="AD37" s="8">
        <v>6429228.6555000003</v>
      </c>
      <c r="AE37" s="8">
        <v>150000</v>
      </c>
      <c r="AF37" s="8">
        <f t="shared" si="11"/>
        <v>8145997.9463805957</v>
      </c>
    </row>
    <row r="38" spans="1:32" x14ac:dyDescent="0.25">
      <c r="A38" s="5" t="s">
        <v>38</v>
      </c>
      <c r="B38" s="5" t="s">
        <v>502</v>
      </c>
      <c r="C38" s="8">
        <f t="shared" si="3"/>
        <v>346153.18891212001</v>
      </c>
      <c r="D38" s="8">
        <f t="shared" si="4"/>
        <v>1106611.1046</v>
      </c>
      <c r="E38" s="8">
        <f t="shared" si="5"/>
        <v>147753.35</v>
      </c>
      <c r="F38" s="8">
        <f t="shared" si="6"/>
        <v>1046705.0845</v>
      </c>
      <c r="G38" s="8">
        <f t="shared" si="7"/>
        <v>554002.62089675397</v>
      </c>
      <c r="H38" s="8">
        <f t="shared" si="8"/>
        <v>1275129.584637587</v>
      </c>
      <c r="I38" s="8">
        <v>664915</v>
      </c>
      <c r="J38" s="8">
        <f>SUMIF(Vandværker!$G:$G,'Costdrivere 2025'!$A38&amp;"_1",Vandværker!$E:$E)</f>
        <v>0</v>
      </c>
      <c r="K38" s="8">
        <f>SUMIF(Vandværker!$G:$G,'Costdrivere 2025'!$A38&amp;"_2",Vandværker!$E:$E)</f>
        <v>665348</v>
      </c>
      <c r="L38" s="8">
        <f>SUMIF(Vandværker!$G:$G,'Costdrivere 2025'!$A38&amp;"_3",Vandværker!$E:$E)</f>
        <v>0</v>
      </c>
      <c r="M38" s="8">
        <f>SUMIF(Vandværker!$G:$G,'Costdrivere 2025'!$A38&amp;"_4",Vandværker!$E:$E)</f>
        <v>0</v>
      </c>
      <c r="N38" s="8">
        <v>3</v>
      </c>
      <c r="O38" s="8">
        <v>2</v>
      </c>
      <c r="P38" s="8"/>
      <c r="Q38" s="8"/>
      <c r="R38" s="8">
        <v>67.97</v>
      </c>
      <c r="S38" s="8">
        <v>11.74</v>
      </c>
      <c r="T38" s="8"/>
      <c r="U38" s="8">
        <v>469</v>
      </c>
      <c r="V38" s="8">
        <v>3916</v>
      </c>
      <c r="W38" s="8">
        <v>1046636</v>
      </c>
      <c r="X38" s="8">
        <v>1046636</v>
      </c>
      <c r="Y38" s="8">
        <f t="shared" si="9"/>
        <v>665348</v>
      </c>
      <c r="Z38" s="8">
        <v>12702</v>
      </c>
      <c r="AA38" s="8">
        <v>98.869</v>
      </c>
      <c r="AB38" s="8">
        <f t="shared" si="10"/>
        <v>0.12847302996894883</v>
      </c>
      <c r="AC38" s="8">
        <v>684344.74604344158</v>
      </c>
      <c r="AD38" s="8">
        <v>4337312.3376636039</v>
      </c>
      <c r="AE38" s="8">
        <v>0</v>
      </c>
      <c r="AF38" s="8">
        <f t="shared" si="11"/>
        <v>5021657.0837070458</v>
      </c>
    </row>
    <row r="39" spans="1:32" x14ac:dyDescent="0.25">
      <c r="A39" s="5" t="s">
        <v>39</v>
      </c>
      <c r="B39" s="5" t="s">
        <v>238</v>
      </c>
      <c r="C39" s="8">
        <f t="shared" si="3"/>
        <v>0</v>
      </c>
      <c r="D39" s="8">
        <f t="shared" si="4"/>
        <v>6070289.8663999997</v>
      </c>
      <c r="E39" s="8">
        <f t="shared" si="5"/>
        <v>151163.35</v>
      </c>
      <c r="F39" s="8">
        <f t="shared" si="6"/>
        <v>90220.34199999999</v>
      </c>
      <c r="G39" s="8">
        <f t="shared" si="7"/>
        <v>2491.555826497934</v>
      </c>
      <c r="H39" s="8">
        <f t="shared" si="8"/>
        <v>3982616.214703762</v>
      </c>
      <c r="I39" s="8"/>
      <c r="J39" s="8">
        <f>SUMIF(Vandværker!$G:$G,'Costdrivere 2025'!$A39&amp;"_1",Vandværker!$E:$E)</f>
        <v>2472131</v>
      </c>
      <c r="K39" s="8">
        <f>SUMIF(Vandværker!$G:$G,'Costdrivere 2025'!$A39&amp;"_2",Vandværker!$E:$E)</f>
        <v>0</v>
      </c>
      <c r="L39" s="8">
        <f>SUMIF(Vandværker!$G:$G,'Costdrivere 2025'!$A39&amp;"_3",Vandværker!$E:$E)</f>
        <v>1429780</v>
      </c>
      <c r="M39" s="8">
        <f>SUMIF(Vandværker!$G:$G,'Costdrivere 2025'!$A39&amp;"_4",Vandværker!$E:$E)</f>
        <v>0</v>
      </c>
      <c r="N39" s="8"/>
      <c r="O39" s="8"/>
      <c r="P39" s="8"/>
      <c r="Q39" s="8">
        <v>1200</v>
      </c>
      <c r="R39" s="8">
        <v>12.2</v>
      </c>
      <c r="S39" s="8"/>
      <c r="T39" s="8"/>
      <c r="U39" s="8"/>
      <c r="V39" s="8">
        <v>10</v>
      </c>
      <c r="W39" s="8">
        <v>3720411</v>
      </c>
      <c r="X39" s="8">
        <v>3720405</v>
      </c>
      <c r="Y39" s="8">
        <f t="shared" si="9"/>
        <v>3901911</v>
      </c>
      <c r="Z39" s="8">
        <v>10</v>
      </c>
      <c r="AA39" s="8">
        <v>26.503599999999999</v>
      </c>
      <c r="AB39" s="8">
        <f t="shared" si="10"/>
        <v>3.7730723373428514E-4</v>
      </c>
      <c r="AC39" s="8">
        <v>1640468.511629581</v>
      </c>
      <c r="AD39" s="8">
        <v>1019935.1753390498</v>
      </c>
      <c r="AE39" s="8">
        <v>81295</v>
      </c>
      <c r="AF39" s="8">
        <f t="shared" si="11"/>
        <v>2741698.6869686306</v>
      </c>
    </row>
    <row r="40" spans="1:32" x14ac:dyDescent="0.25">
      <c r="A40" s="5" t="s">
        <v>40</v>
      </c>
      <c r="B40" s="5" t="s">
        <v>225</v>
      </c>
      <c r="C40" s="8">
        <f t="shared" si="3"/>
        <v>1038121.4670657271</v>
      </c>
      <c r="D40" s="8">
        <f t="shared" si="4"/>
        <v>4571941.7693999996</v>
      </c>
      <c r="E40" s="8">
        <f t="shared" si="5"/>
        <v>182690.87</v>
      </c>
      <c r="F40" s="8">
        <f t="shared" si="6"/>
        <v>1881548.2419999999</v>
      </c>
      <c r="G40" s="8">
        <f t="shared" si="7"/>
        <v>878143.73986965104</v>
      </c>
      <c r="H40" s="8">
        <f t="shared" si="8"/>
        <v>3966591.7096919264</v>
      </c>
      <c r="I40" s="8">
        <v>2216731</v>
      </c>
      <c r="J40" s="8">
        <f>SUMIF(Vandværker!$G:$G,'Costdrivere 2025'!$A40&amp;"_1",Vandværker!$E:$E)</f>
        <v>0</v>
      </c>
      <c r="K40" s="8">
        <f>SUMIF(Vandværker!$G:$G,'Costdrivere 2025'!$A40&amp;"_2",Vandværker!$E:$E)</f>
        <v>3441376</v>
      </c>
      <c r="L40" s="8">
        <f>SUMIF(Vandværker!$G:$G,'Costdrivere 2025'!$A40&amp;"_3",Vandværker!$E:$E)</f>
        <v>19904</v>
      </c>
      <c r="M40" s="8">
        <f>SUMIF(Vandværker!$G:$G,'Costdrivere 2025'!$A40&amp;"_4",Vandværker!$E:$E)</f>
        <v>0</v>
      </c>
      <c r="N40" s="8">
        <v>1</v>
      </c>
      <c r="O40" s="8">
        <v>2</v>
      </c>
      <c r="P40" s="8">
        <v>401</v>
      </c>
      <c r="Q40" s="8"/>
      <c r="R40" s="8">
        <v>159.1</v>
      </c>
      <c r="S40" s="8">
        <v>8.3000000000000007</v>
      </c>
      <c r="T40" s="8"/>
      <c r="U40" s="8">
        <v>1621</v>
      </c>
      <c r="V40" s="8">
        <v>6514</v>
      </c>
      <c r="W40" s="8">
        <v>3703745</v>
      </c>
      <c r="X40" s="8">
        <v>3697751</v>
      </c>
      <c r="Y40" s="8">
        <f t="shared" si="9"/>
        <v>3461280</v>
      </c>
      <c r="Z40" s="8">
        <v>10752</v>
      </c>
      <c r="AA40" s="8">
        <v>398.17263829725385</v>
      </c>
      <c r="AB40" s="8">
        <f t="shared" si="10"/>
        <v>2.7003362275167555E-2</v>
      </c>
      <c r="AC40" s="8">
        <v>2995249.2869545138</v>
      </c>
      <c r="AD40" s="8">
        <v>9978171.3720549047</v>
      </c>
      <c r="AE40" s="8">
        <v>1816806</v>
      </c>
      <c r="AF40" s="8">
        <f t="shared" si="11"/>
        <v>14790226.659009419</v>
      </c>
    </row>
    <row r="41" spans="1:32" x14ac:dyDescent="0.25">
      <c r="A41" s="5" t="s">
        <v>41</v>
      </c>
      <c r="B41" s="5" t="s">
        <v>583</v>
      </c>
      <c r="C41" s="8">
        <f t="shared" si="3"/>
        <v>354112.67207370792</v>
      </c>
      <c r="D41" s="8">
        <f t="shared" si="4"/>
        <v>1515772.3598</v>
      </c>
      <c r="E41" s="8">
        <f t="shared" si="5"/>
        <v>245087.27</v>
      </c>
      <c r="F41" s="8">
        <f t="shared" si="6"/>
        <v>1649907.9221000001</v>
      </c>
      <c r="G41" s="8">
        <f t="shared" si="7"/>
        <v>1087538.7413744514</v>
      </c>
      <c r="H41" s="8">
        <f t="shared" si="8"/>
        <v>1089127.0050533884</v>
      </c>
      <c r="I41" s="8">
        <v>681696</v>
      </c>
      <c r="J41" s="8">
        <f>SUMIF(Vandværker!$G:$G,'Costdrivere 2025'!$A41&amp;"_1",Vandværker!$E:$E)</f>
        <v>322790</v>
      </c>
      <c r="K41" s="8">
        <f>SUMIF(Vandværker!$G:$G,'Costdrivere 2025'!$A41&amp;"_2",Vandværker!$E:$E)</f>
        <v>673970</v>
      </c>
      <c r="L41" s="8">
        <f>SUMIF(Vandværker!$G:$G,'Costdrivere 2025'!$A41&amp;"_3",Vandværker!$E:$E)</f>
        <v>0</v>
      </c>
      <c r="M41" s="8">
        <f>SUMIF(Vandværker!$G:$G,'Costdrivere 2025'!$A41&amp;"_4",Vandværker!$E:$E)</f>
        <v>0</v>
      </c>
      <c r="N41" s="8">
        <v>3</v>
      </c>
      <c r="O41" s="8">
        <v>5</v>
      </c>
      <c r="P41" s="8">
        <v>321</v>
      </c>
      <c r="Q41" s="8"/>
      <c r="R41" s="8">
        <v>142.11000000000001</v>
      </c>
      <c r="S41" s="8"/>
      <c r="T41" s="8"/>
      <c r="U41" s="8">
        <v>2411</v>
      </c>
      <c r="V41" s="8">
        <v>8250</v>
      </c>
      <c r="W41" s="8">
        <v>878096</v>
      </c>
      <c r="X41" s="8">
        <v>825511</v>
      </c>
      <c r="Y41" s="8">
        <f t="shared" si="9"/>
        <v>996760</v>
      </c>
      <c r="Z41" s="8">
        <v>9543</v>
      </c>
      <c r="AA41" s="8">
        <v>282.67561993999988</v>
      </c>
      <c r="AB41" s="8">
        <f t="shared" si="10"/>
        <v>3.37595438970845E-2</v>
      </c>
      <c r="AC41" s="8">
        <v>1645660.1199031118</v>
      </c>
      <c r="AD41" s="8">
        <v>7425718.9816726651</v>
      </c>
      <c r="AE41" s="8">
        <v>383100</v>
      </c>
      <c r="AF41" s="8">
        <f t="shared" si="11"/>
        <v>9454479.1015757769</v>
      </c>
    </row>
    <row r="42" spans="1:32" x14ac:dyDescent="0.25">
      <c r="A42" s="5" t="s">
        <v>42</v>
      </c>
      <c r="B42" s="5" t="s">
        <v>239</v>
      </c>
      <c r="C42" s="8">
        <f t="shared" si="3"/>
        <v>831695.07678126777</v>
      </c>
      <c r="D42" s="8">
        <f t="shared" si="4"/>
        <v>2390432.1373999999</v>
      </c>
      <c r="E42" s="8">
        <f t="shared" si="5"/>
        <v>243301.75</v>
      </c>
      <c r="F42" s="8">
        <f t="shared" si="6"/>
        <v>1829988.4571000002</v>
      </c>
      <c r="G42" s="8">
        <f t="shared" si="7"/>
        <v>1134329.7950814078</v>
      </c>
      <c r="H42" s="8">
        <f t="shared" si="8"/>
        <v>1822614.7214928446</v>
      </c>
      <c r="I42" s="8">
        <v>1738401</v>
      </c>
      <c r="J42" s="8">
        <f>SUMIF(Vandværker!$G:$G,'Costdrivere 2025'!$A42&amp;"_1",Vandværker!$E:$E)</f>
        <v>0</v>
      </c>
      <c r="K42" s="8">
        <f>SUMIF(Vandværker!$G:$G,'Costdrivere 2025'!$A42&amp;"_2",Vandværker!$E:$E)</f>
        <v>1705216</v>
      </c>
      <c r="L42" s="8">
        <f>SUMIF(Vandværker!$G:$G,'Costdrivere 2025'!$A42&amp;"_3",Vandværker!$E:$E)</f>
        <v>0</v>
      </c>
      <c r="M42" s="8">
        <f>SUMIF(Vandværker!$G:$G,'Costdrivere 2025'!$A42&amp;"_4",Vandværker!$E:$E)</f>
        <v>0</v>
      </c>
      <c r="N42" s="8">
        <v>5</v>
      </c>
      <c r="O42" s="8">
        <v>3</v>
      </c>
      <c r="P42" s="8">
        <v>310</v>
      </c>
      <c r="Q42" s="8"/>
      <c r="R42" s="8">
        <v>145.33000000000001</v>
      </c>
      <c r="S42" s="8">
        <v>14.64</v>
      </c>
      <c r="T42" s="8"/>
      <c r="U42" s="8">
        <v>894</v>
      </c>
      <c r="V42" s="8">
        <v>8643</v>
      </c>
      <c r="W42" s="8">
        <v>1557966</v>
      </c>
      <c r="X42" s="8">
        <v>1557966</v>
      </c>
      <c r="Y42" s="8">
        <f t="shared" si="9"/>
        <v>1705216</v>
      </c>
      <c r="Z42" s="8">
        <v>19541</v>
      </c>
      <c r="AA42" s="8">
        <v>249.18700000000001</v>
      </c>
      <c r="AB42" s="8">
        <f t="shared" si="10"/>
        <v>7.8419018648645394E-2</v>
      </c>
      <c r="AC42" s="8">
        <v>2218938.6636628611</v>
      </c>
      <c r="AD42" s="8">
        <v>10266243.148272712</v>
      </c>
      <c r="AE42" s="8">
        <v>569868.42879683129</v>
      </c>
      <c r="AF42" s="8">
        <f t="shared" si="11"/>
        <v>13055050.240732405</v>
      </c>
    </row>
    <row r="43" spans="1:32" x14ac:dyDescent="0.25">
      <c r="A43" s="5" t="s">
        <v>43</v>
      </c>
      <c r="B43" s="5" t="s">
        <v>287</v>
      </c>
      <c r="C43" s="8">
        <f t="shared" si="3"/>
        <v>934462.85897713643</v>
      </c>
      <c r="D43" s="8">
        <f t="shared" si="4"/>
        <v>2697724.0773999998</v>
      </c>
      <c r="E43" s="8">
        <f t="shared" si="5"/>
        <v>550263.75</v>
      </c>
      <c r="F43" s="8">
        <f t="shared" si="6"/>
        <v>2456884.9550000001</v>
      </c>
      <c r="G43" s="8">
        <f t="shared" si="7"/>
        <v>1290070.2747017613</v>
      </c>
      <c r="H43" s="8">
        <f t="shared" si="8"/>
        <v>2128595.2576388814</v>
      </c>
      <c r="I43" s="8">
        <v>1975259</v>
      </c>
      <c r="J43" s="8">
        <f>SUMIF(Vandværker!$G:$G,'Costdrivere 2025'!$A43&amp;"_1",Vandværker!$E:$E)</f>
        <v>0</v>
      </c>
      <c r="K43" s="8">
        <f>SUMIF(Vandværker!$G:$G,'Costdrivere 2025'!$A43&amp;"_2",Vandværker!$E:$E)</f>
        <v>1954116</v>
      </c>
      <c r="L43" s="8">
        <f>SUMIF(Vandværker!$G:$G,'Costdrivere 2025'!$A43&amp;"_3",Vandværker!$E:$E)</f>
        <v>0</v>
      </c>
      <c r="M43" s="8">
        <f>SUMIF(Vandværker!$G:$G,'Costdrivere 2025'!$A43&amp;"_4",Vandværker!$E:$E)</f>
        <v>0</v>
      </c>
      <c r="N43" s="8">
        <v>13</v>
      </c>
      <c r="O43" s="8">
        <v>11</v>
      </c>
      <c r="P43" s="8">
        <v>715</v>
      </c>
      <c r="Q43" s="8"/>
      <c r="R43" s="8">
        <v>208.5</v>
      </c>
      <c r="S43" s="8"/>
      <c r="T43" s="8"/>
      <c r="U43" s="8">
        <v>3683</v>
      </c>
      <c r="V43" s="8">
        <v>9963</v>
      </c>
      <c r="W43" s="8">
        <v>1851875</v>
      </c>
      <c r="X43" s="8">
        <v>1851875</v>
      </c>
      <c r="Y43" s="8">
        <f t="shared" si="9"/>
        <v>1954116</v>
      </c>
      <c r="Z43" s="8">
        <v>11800</v>
      </c>
      <c r="AA43" s="8">
        <v>807.14744999999994</v>
      </c>
      <c r="AB43" s="8">
        <f t="shared" si="10"/>
        <v>1.4619385838362002E-2</v>
      </c>
      <c r="AC43" s="8">
        <v>2538484.4199162927</v>
      </c>
      <c r="AD43" s="8">
        <v>15182797.968276862</v>
      </c>
      <c r="AE43" s="8">
        <v>185000</v>
      </c>
      <c r="AF43" s="8">
        <f t="shared" si="11"/>
        <v>17906282.388193153</v>
      </c>
    </row>
    <row r="44" spans="1:32" x14ac:dyDescent="0.25">
      <c r="A44" s="5" t="s">
        <v>44</v>
      </c>
      <c r="B44" s="5" t="s">
        <v>240</v>
      </c>
      <c r="C44" s="8">
        <f t="shared" si="3"/>
        <v>900882.5901517279</v>
      </c>
      <c r="D44" s="8">
        <f t="shared" si="4"/>
        <v>2587447.1362000001</v>
      </c>
      <c r="E44" s="8">
        <f t="shared" si="5"/>
        <v>269377.19</v>
      </c>
      <c r="F44" s="8">
        <f t="shared" si="6"/>
        <v>3241494.2274000002</v>
      </c>
      <c r="G44" s="8">
        <f t="shared" si="7"/>
        <v>1966784.1264596388</v>
      </c>
      <c r="H44" s="8">
        <f t="shared" si="8"/>
        <v>1985861.137142784</v>
      </c>
      <c r="I44" s="8">
        <v>1897573</v>
      </c>
      <c r="J44" s="8">
        <f>SUMIF(Vandværker!$G:$G,'Costdrivere 2025'!$A44&amp;"_1",Vandværker!$E:$E)</f>
        <v>0</v>
      </c>
      <c r="K44" s="8">
        <f>SUMIF(Vandværker!$G:$G,'Costdrivere 2025'!$A44&amp;"_2",Vandværker!$E:$E)</f>
        <v>1864794</v>
      </c>
      <c r="L44" s="8">
        <f>SUMIF(Vandværker!$G:$G,'Costdrivere 2025'!$A44&amp;"_3",Vandværker!$E:$E)</f>
        <v>0</v>
      </c>
      <c r="M44" s="8">
        <f>SUMIF(Vandværker!$G:$G,'Costdrivere 2025'!$A44&amp;"_4",Vandværker!$E:$E)</f>
        <v>0</v>
      </c>
      <c r="N44" s="8">
        <v>6</v>
      </c>
      <c r="O44" s="8">
        <v>5</v>
      </c>
      <c r="P44" s="8">
        <v>192</v>
      </c>
      <c r="Q44" s="8"/>
      <c r="R44" s="8">
        <v>215.5</v>
      </c>
      <c r="S44" s="8">
        <v>5.92</v>
      </c>
      <c r="T44" s="8"/>
      <c r="U44" s="8">
        <v>5765</v>
      </c>
      <c r="V44" s="8">
        <v>15875</v>
      </c>
      <c r="W44" s="8">
        <v>1714129</v>
      </c>
      <c r="X44" s="8">
        <v>1714129</v>
      </c>
      <c r="Y44" s="8">
        <f t="shared" si="9"/>
        <v>1864794</v>
      </c>
      <c r="Z44" s="8">
        <v>16492</v>
      </c>
      <c r="AA44" s="8">
        <v>745.47900000000004</v>
      </c>
      <c r="AB44" s="8">
        <f t="shared" si="10"/>
        <v>2.2122688902034799E-2</v>
      </c>
      <c r="AC44" s="8">
        <v>4718079.6874346649</v>
      </c>
      <c r="AD44" s="8">
        <v>17443839.801095001</v>
      </c>
      <c r="AE44" s="8">
        <v>715112</v>
      </c>
      <c r="AF44" s="8">
        <f t="shared" si="11"/>
        <v>22877031.488529667</v>
      </c>
    </row>
    <row r="45" spans="1:32" x14ac:dyDescent="0.25">
      <c r="A45" s="5" t="s">
        <v>45</v>
      </c>
      <c r="B45" s="5" t="s">
        <v>241</v>
      </c>
      <c r="C45" s="8">
        <f t="shared" si="3"/>
        <v>853990.84824603214</v>
      </c>
      <c r="D45" s="8">
        <f t="shared" si="4"/>
        <v>3678218.7688000002</v>
      </c>
      <c r="E45" s="8">
        <f t="shared" si="5"/>
        <v>166239.75</v>
      </c>
      <c r="F45" s="8">
        <f t="shared" si="6"/>
        <v>4712504.76</v>
      </c>
      <c r="G45" s="8">
        <f t="shared" si="7"/>
        <v>1476141.7460906906</v>
      </c>
      <c r="H45" s="8">
        <f t="shared" si="8"/>
        <v>2947936.2176564853</v>
      </c>
      <c r="I45" s="8">
        <v>1789560</v>
      </c>
      <c r="J45" s="8">
        <f>SUMIF(Vandværker!$G:$G,'Costdrivere 2025'!$A45&amp;"_1",Vandværker!$E:$E)</f>
        <v>0</v>
      </c>
      <c r="K45" s="8">
        <f>SUMIF(Vandværker!$G:$G,'Costdrivere 2025'!$A45&amp;"_2",Vandværker!$E:$E)</f>
        <v>0</v>
      </c>
      <c r="L45" s="8">
        <f>SUMIF(Vandværker!$G:$G,'Costdrivere 2025'!$A45&amp;"_3",Vandværker!$E:$E)</f>
        <v>1775070</v>
      </c>
      <c r="M45" s="8">
        <f>SUMIF(Vandværker!$G:$G,'Costdrivere 2025'!$A45&amp;"_4",Vandværker!$E:$E)</f>
        <v>0</v>
      </c>
      <c r="N45" s="8"/>
      <c r="O45" s="8">
        <v>1</v>
      </c>
      <c r="P45" s="8"/>
      <c r="Q45" s="8">
        <v>1200</v>
      </c>
      <c r="R45" s="8">
        <v>171</v>
      </c>
      <c r="S45" s="8">
        <v>93</v>
      </c>
      <c r="T45" s="8"/>
      <c r="U45" s="8">
        <v>246</v>
      </c>
      <c r="V45" s="8">
        <v>11562</v>
      </c>
      <c r="W45" s="8">
        <v>2661341</v>
      </c>
      <c r="X45" s="8">
        <v>2661341</v>
      </c>
      <c r="Y45" s="8">
        <f t="shared" si="9"/>
        <v>1775070</v>
      </c>
      <c r="Z45" s="8">
        <v>35577</v>
      </c>
      <c r="AA45" s="8">
        <v>296.75400000000002</v>
      </c>
      <c r="AB45" s="8">
        <f t="shared" si="10"/>
        <v>0.11988717927980751</v>
      </c>
      <c r="AC45" s="8">
        <v>2769991.1633788995</v>
      </c>
      <c r="AD45" s="8">
        <v>10841623.33248575</v>
      </c>
      <c r="AE45" s="8">
        <v>857770</v>
      </c>
      <c r="AF45" s="8">
        <f t="shared" si="11"/>
        <v>14469384.49586465</v>
      </c>
    </row>
    <row r="46" spans="1:32" x14ac:dyDescent="0.25">
      <c r="A46" s="5" t="s">
        <v>46</v>
      </c>
      <c r="B46" s="5" t="s">
        <v>616</v>
      </c>
      <c r="C46" s="8">
        <f t="shared" si="3"/>
        <v>713827.99709678686</v>
      </c>
      <c r="D46" s="8">
        <f t="shared" si="4"/>
        <v>2087382.2829999998</v>
      </c>
      <c r="E46" s="8">
        <f t="shared" si="5"/>
        <v>247483.35</v>
      </c>
      <c r="F46" s="8">
        <f t="shared" si="6"/>
        <v>1559448.9180000001</v>
      </c>
      <c r="G46" s="8">
        <f t="shared" si="7"/>
        <v>839737.5619663269</v>
      </c>
      <c r="H46" s="8">
        <f t="shared" si="8"/>
        <v>1683322.3890118783</v>
      </c>
      <c r="I46" s="8">
        <v>1470223</v>
      </c>
      <c r="J46" s="8">
        <f>SUMIF(Vandværker!$G:$G,'Costdrivere 2025'!$A46&amp;"_1",Vandværker!$E:$E)</f>
        <v>103189</v>
      </c>
      <c r="K46" s="8">
        <f>SUMIF(Vandværker!$G:$G,'Costdrivere 2025'!$A46&amp;"_2",Vandværker!$E:$E)</f>
        <v>1356563</v>
      </c>
      <c r="L46" s="8">
        <f>SUMIF(Vandværker!$G:$G,'Costdrivere 2025'!$A46&amp;"_3",Vandværker!$E:$E)</f>
        <v>0</v>
      </c>
      <c r="M46" s="8">
        <f>SUMIF(Vandværker!$G:$G,'Costdrivere 2025'!$A46&amp;"_4",Vandværker!$E:$E)</f>
        <v>0</v>
      </c>
      <c r="N46" s="8">
        <v>6</v>
      </c>
      <c r="O46" s="8">
        <v>4</v>
      </c>
      <c r="P46" s="8">
        <v>150</v>
      </c>
      <c r="Q46" s="8"/>
      <c r="R46" s="8">
        <v>149</v>
      </c>
      <c r="S46" s="8">
        <v>2.4</v>
      </c>
      <c r="T46" s="8"/>
      <c r="U46" s="8">
        <v>1490</v>
      </c>
      <c r="V46" s="8">
        <v>6200</v>
      </c>
      <c r="W46" s="8">
        <v>1425964</v>
      </c>
      <c r="X46" s="8">
        <v>1442159</v>
      </c>
      <c r="Y46" s="8">
        <f t="shared" si="9"/>
        <v>1459752</v>
      </c>
      <c r="Z46" s="8">
        <v>11050</v>
      </c>
      <c r="AA46" s="8">
        <v>370.17</v>
      </c>
      <c r="AB46" s="8">
        <f t="shared" si="10"/>
        <v>2.9851149471864277E-2</v>
      </c>
      <c r="AC46" s="8">
        <v>2909413.9279499883</v>
      </c>
      <c r="AD46" s="8">
        <v>7060786.3054320002</v>
      </c>
      <c r="AE46" s="8">
        <v>192000</v>
      </c>
      <c r="AF46" s="8">
        <f t="shared" si="11"/>
        <v>10162200.233381988</v>
      </c>
    </row>
    <row r="47" spans="1:32" x14ac:dyDescent="0.25">
      <c r="A47" s="5" t="s">
        <v>47</v>
      </c>
      <c r="B47" s="5" t="s">
        <v>242</v>
      </c>
      <c r="C47" s="8">
        <f t="shared" si="3"/>
        <v>833395.45006825216</v>
      </c>
      <c r="D47" s="8">
        <f t="shared" si="4"/>
        <v>2436213.5745999999</v>
      </c>
      <c r="E47" s="8">
        <f t="shared" si="5"/>
        <v>253508.55000000002</v>
      </c>
      <c r="F47" s="8">
        <f t="shared" si="6"/>
        <v>1740894.85</v>
      </c>
      <c r="G47" s="8">
        <f t="shared" si="7"/>
        <v>1091833.5927527687</v>
      </c>
      <c r="H47" s="8">
        <f t="shared" si="8"/>
        <v>1946376.4143632224</v>
      </c>
      <c r="I47" s="8">
        <v>1742298</v>
      </c>
      <c r="J47" s="8">
        <f>SUMIF(Vandværker!$G:$G,'Costdrivere 2025'!$A47&amp;"_1",Vandværker!$E:$E)</f>
        <v>0</v>
      </c>
      <c r="K47" s="8">
        <f>SUMIF(Vandværker!$G:$G,'Costdrivere 2025'!$A47&amp;"_2",Vandværker!$E:$E)</f>
        <v>1742298</v>
      </c>
      <c r="L47" s="8">
        <f>SUMIF(Vandværker!$G:$G,'Costdrivere 2025'!$A47&amp;"_3",Vandværker!$E:$E)</f>
        <v>0</v>
      </c>
      <c r="M47" s="8">
        <f>SUMIF(Vandværker!$G:$G,'Costdrivere 2025'!$A47&amp;"_4",Vandværker!$E:$E)</f>
        <v>0</v>
      </c>
      <c r="N47" s="8">
        <v>6</v>
      </c>
      <c r="O47" s="8">
        <v>3</v>
      </c>
      <c r="P47" s="8">
        <v>280</v>
      </c>
      <c r="Q47" s="8"/>
      <c r="R47" s="8">
        <v>127</v>
      </c>
      <c r="S47" s="8"/>
      <c r="T47" s="8"/>
      <c r="U47" s="8">
        <v>3227</v>
      </c>
      <c r="V47" s="8">
        <v>8286</v>
      </c>
      <c r="W47" s="8">
        <v>1676219</v>
      </c>
      <c r="X47" s="8">
        <v>1676219</v>
      </c>
      <c r="Y47" s="8">
        <f t="shared" si="9"/>
        <v>1742298</v>
      </c>
      <c r="Z47" s="8">
        <v>8331</v>
      </c>
      <c r="AA47" s="8">
        <v>441.23</v>
      </c>
      <c r="AB47" s="8">
        <f t="shared" si="10"/>
        <v>1.8881309067833099E-2</v>
      </c>
      <c r="AC47" s="8">
        <v>2583539.1855558055</v>
      </c>
      <c r="AD47" s="8">
        <v>10083797.033816669</v>
      </c>
      <c r="AE47" s="8">
        <v>677694</v>
      </c>
      <c r="AF47" s="8">
        <f t="shared" si="11"/>
        <v>13345030.219372474</v>
      </c>
    </row>
    <row r="48" spans="1:32" x14ac:dyDescent="0.25">
      <c r="A48" s="5" t="s">
        <v>48</v>
      </c>
      <c r="B48" s="5" t="s">
        <v>213</v>
      </c>
      <c r="C48" s="8">
        <f t="shared" si="3"/>
        <v>644197.16533944418</v>
      </c>
      <c r="D48" s="8">
        <f t="shared" si="4"/>
        <v>1882155.9595999999</v>
      </c>
      <c r="E48" s="8">
        <f t="shared" si="5"/>
        <v>147753.35</v>
      </c>
      <c r="F48" s="8">
        <f t="shared" si="6"/>
        <v>1293030.1265</v>
      </c>
      <c r="G48" s="8">
        <f t="shared" si="7"/>
        <v>1161501.3377700024</v>
      </c>
      <c r="H48" s="8">
        <f t="shared" si="8"/>
        <v>1453726.7895228108</v>
      </c>
      <c r="I48" s="8">
        <v>1313750</v>
      </c>
      <c r="J48" s="8">
        <f>SUMIF(Vandværker!$G:$G,'Costdrivere 2025'!$A48&amp;"_1",Vandværker!$E:$E)</f>
        <v>0</v>
      </c>
      <c r="K48" s="8">
        <f>SUMIF(Vandværker!$G:$G,'Costdrivere 2025'!$A48&amp;"_2",Vandværker!$E:$E)</f>
        <v>1293523</v>
      </c>
      <c r="L48" s="8">
        <f>SUMIF(Vandværker!$G:$G,'Costdrivere 2025'!$A48&amp;"_3",Vandværker!$E:$E)</f>
        <v>0</v>
      </c>
      <c r="M48" s="8">
        <f>SUMIF(Vandværker!$G:$G,'Costdrivere 2025'!$A48&amp;"_4",Vandværker!$E:$E)</f>
        <v>0</v>
      </c>
      <c r="N48" s="8"/>
      <c r="O48" s="8">
        <v>5</v>
      </c>
      <c r="P48" s="8"/>
      <c r="Q48" s="8"/>
      <c r="R48" s="8">
        <v>97.6</v>
      </c>
      <c r="S48" s="8">
        <v>11.15</v>
      </c>
      <c r="T48" s="8"/>
      <c r="U48" s="8">
        <v>665</v>
      </c>
      <c r="V48" s="8">
        <v>8872</v>
      </c>
      <c r="W48" s="8">
        <v>1211129</v>
      </c>
      <c r="X48" s="8">
        <v>1211129</v>
      </c>
      <c r="Y48" s="8">
        <f t="shared" si="9"/>
        <v>1293523</v>
      </c>
      <c r="Z48" s="8">
        <v>9132</v>
      </c>
      <c r="AA48" s="8">
        <v>197.328</v>
      </c>
      <c r="AB48" s="8">
        <f t="shared" si="10"/>
        <v>4.6278277791291657E-2</v>
      </c>
      <c r="AC48" s="8">
        <v>1893331.4569552778</v>
      </c>
      <c r="AD48" s="8">
        <v>4947163.3669833317</v>
      </c>
      <c r="AE48" s="8">
        <v>0</v>
      </c>
      <c r="AF48" s="8">
        <f t="shared" si="11"/>
        <v>6840494.82393861</v>
      </c>
    </row>
    <row r="49" spans="1:32" x14ac:dyDescent="0.25">
      <c r="A49" s="5" t="s">
        <v>49</v>
      </c>
      <c r="B49" s="5" t="s">
        <v>243</v>
      </c>
      <c r="C49" s="8">
        <f t="shared" si="3"/>
        <v>1109313.7888110888</v>
      </c>
      <c r="D49" s="8">
        <f t="shared" si="4"/>
        <v>3228384.7878</v>
      </c>
      <c r="E49" s="8">
        <f t="shared" si="5"/>
        <v>374724.43</v>
      </c>
      <c r="F49" s="8">
        <f t="shared" si="6"/>
        <v>4871249.3613999998</v>
      </c>
      <c r="G49" s="8">
        <f t="shared" si="7"/>
        <v>1917598.8623986072</v>
      </c>
      <c r="H49" s="8">
        <f t="shared" si="8"/>
        <v>2369064.2102644606</v>
      </c>
      <c r="I49" s="8">
        <v>2383940</v>
      </c>
      <c r="J49" s="8">
        <f>SUMIF(Vandværker!$G:$G,'Costdrivere 2025'!$A49&amp;"_1",Vandværker!$E:$E)</f>
        <v>0</v>
      </c>
      <c r="K49" s="8">
        <f>SUMIF(Vandværker!$G:$G,'Costdrivere 2025'!$A49&amp;"_2",Vandværker!$E:$E)</f>
        <v>2383940</v>
      </c>
      <c r="L49" s="8">
        <f>SUMIF(Vandværker!$G:$G,'Costdrivere 2025'!$A49&amp;"_3",Vandværker!$E:$E)</f>
        <v>0</v>
      </c>
      <c r="M49" s="8">
        <f>SUMIF(Vandværker!$G:$G,'Costdrivere 2025'!$A49&amp;"_4",Vandværker!$E:$E)</f>
        <v>0</v>
      </c>
      <c r="N49" s="8">
        <v>5</v>
      </c>
      <c r="O49" s="8">
        <v>6</v>
      </c>
      <c r="P49" s="8">
        <v>436.5</v>
      </c>
      <c r="Q49" s="8">
        <v>1000</v>
      </c>
      <c r="R49" s="8">
        <v>310.04000000000002</v>
      </c>
      <c r="S49" s="8">
        <v>53.1</v>
      </c>
      <c r="T49" s="8"/>
      <c r="U49" s="8">
        <v>2595</v>
      </c>
      <c r="V49" s="8">
        <v>15437</v>
      </c>
      <c r="W49" s="8">
        <v>2086293</v>
      </c>
      <c r="X49" s="8">
        <v>2086293</v>
      </c>
      <c r="Y49" s="8">
        <f t="shared" si="9"/>
        <v>2383940</v>
      </c>
      <c r="Z49" s="8">
        <v>30821</v>
      </c>
      <c r="AA49" s="8">
        <v>662.63936724531948</v>
      </c>
      <c r="AB49" s="8">
        <f t="shared" si="10"/>
        <v>4.6512479522801402E-2</v>
      </c>
      <c r="AC49" s="8">
        <v>6403966.526403144</v>
      </c>
      <c r="AD49" s="8">
        <v>20899998.511475012</v>
      </c>
      <c r="AE49" s="8">
        <v>1310662</v>
      </c>
      <c r="AF49" s="8">
        <f t="shared" si="11"/>
        <v>28614627.037878156</v>
      </c>
    </row>
    <row r="50" spans="1:32" x14ac:dyDescent="0.25">
      <c r="A50" s="5" t="s">
        <v>50</v>
      </c>
      <c r="B50" s="5" t="s">
        <v>214</v>
      </c>
      <c r="C50" s="8">
        <f t="shared" si="3"/>
        <v>470981.44852150715</v>
      </c>
      <c r="D50" s="8">
        <f t="shared" si="4"/>
        <v>1540529.3933999999</v>
      </c>
      <c r="E50" s="8">
        <f t="shared" si="5"/>
        <v>241678.55</v>
      </c>
      <c r="F50" s="8">
        <f t="shared" si="6"/>
        <v>1226947.19</v>
      </c>
      <c r="G50" s="8">
        <f t="shared" si="7"/>
        <v>899593.57365248341</v>
      </c>
      <c r="H50" s="8">
        <f t="shared" si="8"/>
        <v>1100119.6407306017</v>
      </c>
      <c r="I50" s="8">
        <v>931944</v>
      </c>
      <c r="J50" s="8">
        <f>SUMIF(Vandværker!$G:$G,'Costdrivere 2025'!$A50&amp;"_1",Vandværker!$E:$E)</f>
        <v>393512</v>
      </c>
      <c r="K50" s="8">
        <f>SUMIF(Vandværker!$G:$G,'Costdrivere 2025'!$A50&amp;"_2",Vandværker!$E:$E)</f>
        <v>0</v>
      </c>
      <c r="L50" s="8">
        <f>SUMIF(Vandværker!$G:$G,'Costdrivere 2025'!$A50&amp;"_3",Vandværker!$E:$E)</f>
        <v>0</v>
      </c>
      <c r="M50" s="8">
        <f>SUMIF(Vandværker!$G:$G,'Costdrivere 2025'!$A50&amp;"_4",Vandværker!$E:$E)</f>
        <v>538432</v>
      </c>
      <c r="N50" s="8">
        <v>5</v>
      </c>
      <c r="O50" s="8">
        <v>3</v>
      </c>
      <c r="P50" s="8">
        <v>300</v>
      </c>
      <c r="Q50" s="8"/>
      <c r="R50" s="8">
        <v>104</v>
      </c>
      <c r="S50" s="8">
        <v>5</v>
      </c>
      <c r="T50" s="8"/>
      <c r="U50" s="8">
        <v>1110</v>
      </c>
      <c r="V50" s="8">
        <v>6690</v>
      </c>
      <c r="W50" s="8">
        <v>887971</v>
      </c>
      <c r="X50" s="8">
        <v>887971</v>
      </c>
      <c r="Y50" s="8">
        <f t="shared" si="9"/>
        <v>931944</v>
      </c>
      <c r="Z50" s="8">
        <v>7968</v>
      </c>
      <c r="AA50" s="8">
        <v>238.03447653806853</v>
      </c>
      <c r="AB50" s="8">
        <f t="shared" si="10"/>
        <v>3.3474142552310862E-2</v>
      </c>
      <c r="AC50" s="8">
        <v>2305011.2557648644</v>
      </c>
      <c r="AD50" s="8">
        <v>6043451.4967971882</v>
      </c>
      <c r="AE50" s="8">
        <v>257000</v>
      </c>
      <c r="AF50" s="8">
        <f t="shared" si="11"/>
        <v>8605462.7525620535</v>
      </c>
    </row>
    <row r="51" spans="1:32" x14ac:dyDescent="0.25">
      <c r="A51" s="5" t="s">
        <v>51</v>
      </c>
      <c r="B51" s="5" t="s">
        <v>215</v>
      </c>
      <c r="C51" s="8">
        <f t="shared" si="3"/>
        <v>1618065.3863282003</v>
      </c>
      <c r="D51" s="8">
        <f t="shared" si="4"/>
        <v>4263747.5089999996</v>
      </c>
      <c r="E51" s="8">
        <f t="shared" si="5"/>
        <v>529045.03</v>
      </c>
      <c r="F51" s="8">
        <f t="shared" si="6"/>
        <v>4673326.8992999997</v>
      </c>
      <c r="G51" s="8">
        <f t="shared" si="7"/>
        <v>2784753.4661422754</v>
      </c>
      <c r="H51" s="8">
        <f t="shared" si="8"/>
        <v>3586170.6173279397</v>
      </c>
      <c r="I51" s="8">
        <v>3606087</v>
      </c>
      <c r="J51" s="8">
        <f>SUMIF(Vandværker!$G:$G,'Costdrivere 2025'!$A51&amp;"_1",Vandværker!$E:$E)</f>
        <v>0</v>
      </c>
      <c r="K51" s="8">
        <f>SUMIF(Vandværker!$G:$G,'Costdrivere 2025'!$A51&amp;"_2",Vandværker!$E:$E)</f>
        <v>3222562</v>
      </c>
      <c r="L51" s="8">
        <f>SUMIF(Vandværker!$G:$G,'Costdrivere 2025'!$A51&amp;"_3",Vandværker!$E:$E)</f>
        <v>0</v>
      </c>
      <c r="M51" s="8">
        <f>SUMIF(Vandværker!$G:$G,'Costdrivere 2025'!$A51&amp;"_4",Vandværker!$E:$E)</f>
        <v>0</v>
      </c>
      <c r="N51" s="8">
        <v>3</v>
      </c>
      <c r="O51" s="8">
        <v>19</v>
      </c>
      <c r="P51" s="8">
        <v>605</v>
      </c>
      <c r="Q51" s="8">
        <v>408</v>
      </c>
      <c r="R51" s="8">
        <v>274.63</v>
      </c>
      <c r="S51" s="8"/>
      <c r="T51" s="8"/>
      <c r="U51" s="8">
        <v>10636</v>
      </c>
      <c r="V51" s="8">
        <v>23311</v>
      </c>
      <c r="W51" s="8">
        <v>3310404</v>
      </c>
      <c r="X51" s="8">
        <v>3154664</v>
      </c>
      <c r="Y51" s="8">
        <f t="shared" si="9"/>
        <v>3222562</v>
      </c>
      <c r="Z51" s="8">
        <v>25921</v>
      </c>
      <c r="AA51" s="8">
        <v>1267.9290000000001</v>
      </c>
      <c r="AB51" s="8">
        <f t="shared" si="10"/>
        <v>2.0443573733229543E-2</v>
      </c>
      <c r="AC51" s="8">
        <v>8230324.3383217556</v>
      </c>
      <c r="AD51" s="8">
        <v>29002850.72995</v>
      </c>
      <c r="AE51" s="8">
        <v>363000</v>
      </c>
      <c r="AF51" s="8">
        <f t="shared" si="11"/>
        <v>37596175.068271756</v>
      </c>
    </row>
    <row r="52" spans="1:32" x14ac:dyDescent="0.25">
      <c r="A52" s="5" t="s">
        <v>52</v>
      </c>
      <c r="B52" s="5" t="s">
        <v>244</v>
      </c>
      <c r="C52" s="8">
        <f t="shared" si="3"/>
        <v>884367.96751715941</v>
      </c>
      <c r="D52" s="8">
        <f t="shared" si="4"/>
        <v>2501470.8267999999</v>
      </c>
      <c r="E52" s="8">
        <f t="shared" si="5"/>
        <v>173724.55</v>
      </c>
      <c r="F52" s="8">
        <f t="shared" si="6"/>
        <v>2701256.1513</v>
      </c>
      <c r="G52" s="8">
        <f t="shared" si="7"/>
        <v>1131715.8618074595</v>
      </c>
      <c r="H52" s="8">
        <f t="shared" si="8"/>
        <v>1932847.8807711722</v>
      </c>
      <c r="I52" s="8">
        <v>1859469</v>
      </c>
      <c r="J52" s="8">
        <f>SUMIF(Vandværker!$G:$G,'Costdrivere 2025'!$A52&amp;"_1",Vandværker!$E:$E)</f>
        <v>0</v>
      </c>
      <c r="K52" s="8">
        <f>SUMIF(Vandværker!$G:$G,'Costdrivere 2025'!$A52&amp;"_2",Vandværker!$E:$E)</f>
        <v>1795155</v>
      </c>
      <c r="L52" s="8">
        <f>SUMIF(Vandværker!$G:$G,'Costdrivere 2025'!$A52&amp;"_3",Vandværker!$E:$E)</f>
        <v>0</v>
      </c>
      <c r="M52" s="8">
        <f>SUMIF(Vandværker!$G:$G,'Costdrivere 2025'!$A52&amp;"_4",Vandværker!$E:$E)</f>
        <v>0</v>
      </c>
      <c r="N52" s="8">
        <v>1</v>
      </c>
      <c r="O52" s="8">
        <v>4</v>
      </c>
      <c r="P52" s="8">
        <v>160</v>
      </c>
      <c r="Q52" s="8"/>
      <c r="R52" s="8">
        <v>164.75</v>
      </c>
      <c r="S52" s="8">
        <v>24.04</v>
      </c>
      <c r="T52" s="8"/>
      <c r="U52" s="8">
        <v>2445</v>
      </c>
      <c r="V52" s="8">
        <v>8621</v>
      </c>
      <c r="W52" s="8">
        <v>1663250</v>
      </c>
      <c r="X52" s="8">
        <v>1665264</v>
      </c>
      <c r="Y52" s="8">
        <f t="shared" si="9"/>
        <v>1795155</v>
      </c>
      <c r="Z52" s="8">
        <v>14795</v>
      </c>
      <c r="AA52" s="8">
        <v>412.11900000000003</v>
      </c>
      <c r="AB52" s="8">
        <f t="shared" si="10"/>
        <v>3.589982505053152E-2</v>
      </c>
      <c r="AC52" s="8">
        <v>2776588.687117273</v>
      </c>
      <c r="AD52" s="8">
        <v>9356892.3687817492</v>
      </c>
      <c r="AE52" s="8">
        <v>640331</v>
      </c>
      <c r="AF52" s="8">
        <f t="shared" si="11"/>
        <v>12773812.055899022</v>
      </c>
    </row>
    <row r="53" spans="1:32" x14ac:dyDescent="0.25">
      <c r="A53" s="5" t="s">
        <v>53</v>
      </c>
      <c r="B53" s="5" t="s">
        <v>245</v>
      </c>
      <c r="C53" s="8">
        <f t="shared" si="3"/>
        <v>1659043.5389867115</v>
      </c>
      <c r="D53" s="8">
        <f t="shared" si="4"/>
        <v>4799496.2270999998</v>
      </c>
      <c r="E53" s="8">
        <f t="shared" si="5"/>
        <v>337714.39</v>
      </c>
      <c r="F53" s="8">
        <f t="shared" si="6"/>
        <v>4067937.6014</v>
      </c>
      <c r="G53" s="8">
        <f t="shared" si="7"/>
        <v>1703899.7637159368</v>
      </c>
      <c r="H53" s="8">
        <f t="shared" si="8"/>
        <v>3632538.5763534885</v>
      </c>
      <c r="I53" s="8">
        <v>3706335</v>
      </c>
      <c r="J53" s="8">
        <f>SUMIF(Vandværker!$G:$G,'Costdrivere 2025'!$A53&amp;"_1",Vandværker!$E:$E)</f>
        <v>0</v>
      </c>
      <c r="K53" s="8">
        <f>SUMIF(Vandværker!$G:$G,'Costdrivere 2025'!$A53&amp;"_2",Vandværker!$E:$E)</f>
        <v>3651418</v>
      </c>
      <c r="L53" s="8">
        <f>SUMIF(Vandværker!$G:$G,'Costdrivere 2025'!$A53&amp;"_3",Vandværker!$E:$E)</f>
        <v>3287</v>
      </c>
      <c r="M53" s="8">
        <f>SUMIF(Vandværker!$G:$G,'Costdrivere 2025'!$A53&amp;"_4",Vandværker!$E:$E)</f>
        <v>0</v>
      </c>
      <c r="N53" s="8">
        <v>6</v>
      </c>
      <c r="O53" s="8">
        <v>3</v>
      </c>
      <c r="P53" s="8">
        <v>192</v>
      </c>
      <c r="Q53" s="8">
        <v>1500</v>
      </c>
      <c r="R53" s="8">
        <v>215.12</v>
      </c>
      <c r="S53" s="8">
        <v>63.06</v>
      </c>
      <c r="T53" s="8"/>
      <c r="U53" s="8">
        <v>727</v>
      </c>
      <c r="V53" s="8">
        <v>13548</v>
      </c>
      <c r="W53" s="8">
        <v>3358103</v>
      </c>
      <c r="X53" s="8">
        <v>2983517</v>
      </c>
      <c r="Y53" s="8">
        <f t="shared" si="9"/>
        <v>3654705</v>
      </c>
      <c r="Z53" s="8">
        <v>41753</v>
      </c>
      <c r="AA53" s="8">
        <v>367.49255000000005</v>
      </c>
      <c r="AB53" s="8">
        <f t="shared" si="10"/>
        <v>0.1136159086762439</v>
      </c>
      <c r="AC53" s="8">
        <v>4588926.1115486901</v>
      </c>
      <c r="AD53" s="8">
        <v>13467030.665802855</v>
      </c>
      <c r="AE53" s="8">
        <v>422612.70151300402</v>
      </c>
      <c r="AF53" s="8">
        <f t="shared" si="11"/>
        <v>18478569.478864547</v>
      </c>
    </row>
    <row r="54" spans="1:32" x14ac:dyDescent="0.25">
      <c r="A54" s="5" t="s">
        <v>54</v>
      </c>
      <c r="B54" s="5" t="s">
        <v>246</v>
      </c>
      <c r="C54" s="8">
        <f t="shared" si="3"/>
        <v>793665.83907189732</v>
      </c>
      <c r="D54" s="8">
        <f t="shared" si="4"/>
        <v>2326860.1141999997</v>
      </c>
      <c r="E54" s="8">
        <f t="shared" si="5"/>
        <v>87447.75</v>
      </c>
      <c r="F54" s="8">
        <f t="shared" si="6"/>
        <v>1447061.317</v>
      </c>
      <c r="G54" s="8">
        <f t="shared" si="7"/>
        <v>1210456.3778918341</v>
      </c>
      <c r="H54" s="8">
        <f t="shared" si="8"/>
        <v>1778168.3866776992</v>
      </c>
      <c r="I54" s="8">
        <v>1651447</v>
      </c>
      <c r="J54" s="8">
        <f>SUMIF(Vandværker!$G:$G,'Costdrivere 2025'!$A54&amp;"_1",Vandværker!$E:$E)</f>
        <v>0</v>
      </c>
      <c r="K54" s="8">
        <f>SUMIF(Vandværker!$G:$G,'Costdrivere 2025'!$A54&amp;"_2",Vandværker!$E:$E)</f>
        <v>1653724</v>
      </c>
      <c r="L54" s="8">
        <f>SUMIF(Vandværker!$G:$G,'Costdrivere 2025'!$A54&amp;"_3",Vandværker!$E:$E)</f>
        <v>0</v>
      </c>
      <c r="M54" s="8">
        <f>SUMIF(Vandværker!$G:$G,'Costdrivere 2025'!$A54&amp;"_4",Vandværker!$E:$E)</f>
        <v>0</v>
      </c>
      <c r="N54" s="8"/>
      <c r="O54" s="8">
        <v>1</v>
      </c>
      <c r="P54" s="8"/>
      <c r="Q54" s="8"/>
      <c r="R54" s="8">
        <v>165.4</v>
      </c>
      <c r="S54" s="8">
        <v>4.9000000000000004</v>
      </c>
      <c r="T54" s="8"/>
      <c r="U54" s="8">
        <v>183</v>
      </c>
      <c r="V54" s="8">
        <v>9286</v>
      </c>
      <c r="W54" s="8">
        <v>1515717</v>
      </c>
      <c r="X54" s="8">
        <v>1515717</v>
      </c>
      <c r="Y54" s="8">
        <f t="shared" si="9"/>
        <v>1653724</v>
      </c>
      <c r="Z54" s="8">
        <v>18833</v>
      </c>
      <c r="AA54" s="8">
        <v>201.98296443326296</v>
      </c>
      <c r="AB54" s="8">
        <f t="shared" si="10"/>
        <v>9.3240536660321158E-2</v>
      </c>
      <c r="AC54" s="8">
        <v>1882938.7069651291</v>
      </c>
      <c r="AD54" s="8">
        <v>7417896.4615649022</v>
      </c>
      <c r="AE54" s="8">
        <v>843595.7868</v>
      </c>
      <c r="AF54" s="8">
        <f t="shared" si="11"/>
        <v>10144430.955330033</v>
      </c>
    </row>
    <row r="55" spans="1:32" x14ac:dyDescent="0.25">
      <c r="A55" s="5" t="s">
        <v>55</v>
      </c>
      <c r="B55" s="5" t="s">
        <v>247</v>
      </c>
      <c r="C55" s="8">
        <f t="shared" si="3"/>
        <v>505011.00546294451</v>
      </c>
      <c r="D55" s="8">
        <f t="shared" si="4"/>
        <v>2103244.0783000002</v>
      </c>
      <c r="E55" s="8">
        <f t="shared" si="5"/>
        <v>117600.55</v>
      </c>
      <c r="F55" s="8">
        <f t="shared" si="6"/>
        <v>1091535.2419999999</v>
      </c>
      <c r="G55" s="8">
        <f t="shared" si="7"/>
        <v>916739.19015490834</v>
      </c>
      <c r="H55" s="8">
        <f t="shared" si="8"/>
        <v>1051333.5330815599</v>
      </c>
      <c r="I55" s="8">
        <v>1006020</v>
      </c>
      <c r="J55" s="8">
        <f>SUMIF(Vandværker!$G:$G,'Costdrivere 2025'!$A55&amp;"_1",Vandværker!$E:$E)</f>
        <v>0</v>
      </c>
      <c r="K55" s="8">
        <f>SUMIF(Vandværker!$G:$G,'Costdrivere 2025'!$A55&amp;"_2",Vandværker!$E:$E)</f>
        <v>0</v>
      </c>
      <c r="L55" s="8">
        <f>SUMIF(Vandværker!$G:$G,'Costdrivere 2025'!$A55&amp;"_3",Vandværker!$E:$E)</f>
        <v>951123</v>
      </c>
      <c r="M55" s="8">
        <f>SUMIF(Vandværker!$G:$G,'Costdrivere 2025'!$A55&amp;"_4",Vandværker!$E:$E)</f>
        <v>0</v>
      </c>
      <c r="N55" s="8"/>
      <c r="O55" s="8">
        <v>3</v>
      </c>
      <c r="P55" s="8"/>
      <c r="Q55" s="8"/>
      <c r="R55" s="8">
        <v>130.19999999999999</v>
      </c>
      <c r="S55" s="8"/>
      <c r="T55" s="8"/>
      <c r="U55" s="8">
        <v>518</v>
      </c>
      <c r="V55" s="8">
        <v>6831</v>
      </c>
      <c r="W55" s="8">
        <v>844232</v>
      </c>
      <c r="X55" s="8">
        <v>844232</v>
      </c>
      <c r="Y55" s="8">
        <f t="shared" si="9"/>
        <v>951123</v>
      </c>
      <c r="Z55" s="8">
        <v>9245</v>
      </c>
      <c r="AA55" s="8">
        <v>185.45099999999999</v>
      </c>
      <c r="AB55" s="8">
        <f t="shared" si="10"/>
        <v>4.9851443238375634E-2</v>
      </c>
      <c r="AC55" s="8">
        <v>2232773.4927154668</v>
      </c>
      <c r="AD55" s="8">
        <v>4807428.2856316669</v>
      </c>
      <c r="AE55" s="8">
        <v>211500</v>
      </c>
      <c r="AF55" s="8">
        <f t="shared" si="11"/>
        <v>7251701.7783471337</v>
      </c>
    </row>
    <row r="56" spans="1:32" x14ac:dyDescent="0.25">
      <c r="A56" s="5" t="s">
        <v>56</v>
      </c>
      <c r="B56" s="5" t="s">
        <v>248</v>
      </c>
      <c r="C56" s="8">
        <f t="shared" si="3"/>
        <v>1310076.1307901489</v>
      </c>
      <c r="D56" s="8">
        <f t="shared" si="4"/>
        <v>4335075.0658</v>
      </c>
      <c r="E56" s="8">
        <f t="shared" si="5"/>
        <v>420199.27</v>
      </c>
      <c r="F56" s="8">
        <f t="shared" si="6"/>
        <v>4419383.7555999998</v>
      </c>
      <c r="G56" s="8">
        <f t="shared" si="7"/>
        <v>2538436.7902009212</v>
      </c>
      <c r="H56" s="8">
        <f t="shared" si="8"/>
        <v>3038832.6897739028</v>
      </c>
      <c r="I56" s="8">
        <v>2860879</v>
      </c>
      <c r="J56" s="8">
        <f>SUMIF(Vandværker!$G:$G,'Costdrivere 2025'!$A56&amp;"_1",Vandværker!$E:$E)</f>
        <v>0</v>
      </c>
      <c r="K56" s="8">
        <f>SUMIF(Vandværker!$G:$G,'Costdrivere 2025'!$A56&amp;"_2",Vandværker!$E:$E)</f>
        <v>0</v>
      </c>
      <c r="L56" s="8">
        <f>SUMIF(Vandværker!$G:$G,'Costdrivere 2025'!$A56&amp;"_3",Vandværker!$E:$E)</f>
        <v>0</v>
      </c>
      <c r="M56" s="8">
        <f>SUMIF(Vandværker!$G:$G,'Costdrivere 2025'!$A56&amp;"_4",Vandværker!$E:$E)</f>
        <v>2833685</v>
      </c>
      <c r="N56" s="8">
        <v>11</v>
      </c>
      <c r="O56" s="8">
        <v>7</v>
      </c>
      <c r="P56" s="8">
        <v>471</v>
      </c>
      <c r="Q56" s="8"/>
      <c r="R56" s="8">
        <v>362.78</v>
      </c>
      <c r="S56" s="8">
        <v>31.34</v>
      </c>
      <c r="T56" s="8"/>
      <c r="U56" s="8">
        <v>2396</v>
      </c>
      <c r="V56" s="8">
        <v>21044</v>
      </c>
      <c r="W56" s="8">
        <v>2752880</v>
      </c>
      <c r="X56" s="8">
        <v>2766134</v>
      </c>
      <c r="Y56" s="8">
        <f t="shared" si="9"/>
        <v>2833685</v>
      </c>
      <c r="Z56" s="8">
        <v>36973</v>
      </c>
      <c r="AA56" s="8">
        <v>623.26004247080562</v>
      </c>
      <c r="AB56" s="8">
        <f t="shared" si="10"/>
        <v>5.932194827287017E-2</v>
      </c>
      <c r="AC56" s="8">
        <v>3120076.5693007177</v>
      </c>
      <c r="AD56" s="8">
        <v>17781306.158647016</v>
      </c>
      <c r="AE56" s="8">
        <v>3661000</v>
      </c>
      <c r="AF56" s="8">
        <f t="shared" si="11"/>
        <v>24562382.727947734</v>
      </c>
    </row>
    <row r="57" spans="1:32" x14ac:dyDescent="0.25">
      <c r="A57" s="5" t="s">
        <v>57</v>
      </c>
      <c r="B57" s="5" t="s">
        <v>533</v>
      </c>
      <c r="C57" s="8">
        <f t="shared" si="3"/>
        <v>2849257.9831624553</v>
      </c>
      <c r="D57" s="8">
        <f t="shared" si="4"/>
        <v>13113862.555299999</v>
      </c>
      <c r="E57" s="8">
        <f t="shared" si="5"/>
        <v>0</v>
      </c>
      <c r="F57" s="8">
        <f t="shared" si="6"/>
        <v>154515.99799999999</v>
      </c>
      <c r="G57" s="8">
        <f t="shared" si="7"/>
        <v>1804.0699322910968</v>
      </c>
      <c r="H57" s="8">
        <f t="shared" si="8"/>
        <v>6760382.5505926181</v>
      </c>
      <c r="I57" s="8">
        <v>6705848</v>
      </c>
      <c r="J57" s="8">
        <f>SUMIF(Vandværker!$G:$G,'Costdrivere 2025'!$A57&amp;"_1",Vandværker!$E:$E)</f>
        <v>0</v>
      </c>
      <c r="K57" s="8">
        <f>SUMIF(Vandværker!$G:$G,'Costdrivere 2025'!$A57&amp;"_2",Vandværker!$E:$E)</f>
        <v>0</v>
      </c>
      <c r="L57" s="8">
        <f>SUMIF(Vandværker!$G:$G,'Costdrivere 2025'!$A57&amp;"_3",Vandværker!$E:$E)</f>
        <v>6711321</v>
      </c>
      <c r="M57" s="8">
        <f>SUMIF(Vandværker!$G:$G,'Costdrivere 2025'!$A57&amp;"_4",Vandværker!$E:$E)</f>
        <v>0</v>
      </c>
      <c r="N57" s="8"/>
      <c r="O57" s="8"/>
      <c r="P57" s="8"/>
      <c r="Q57" s="8"/>
      <c r="R57" s="8">
        <v>14</v>
      </c>
      <c r="S57" s="8">
        <v>1.4</v>
      </c>
      <c r="T57" s="8"/>
      <c r="U57" s="8"/>
      <c r="V57" s="8">
        <v>7</v>
      </c>
      <c r="W57" s="8">
        <v>6706502</v>
      </c>
      <c r="X57" s="8"/>
      <c r="Y57" s="8">
        <f t="shared" si="9"/>
        <v>6711321</v>
      </c>
      <c r="Z57" s="8"/>
      <c r="AA57" s="8">
        <v>32.001911146666409</v>
      </c>
      <c r="AB57" s="8">
        <f t="shared" si="10"/>
        <v>0</v>
      </c>
      <c r="AC57" s="8">
        <v>8558811.9091139641</v>
      </c>
      <c r="AD57" s="8">
        <v>2472442.4627181059</v>
      </c>
      <c r="AE57" s="8">
        <v>1150831.2894000001</v>
      </c>
      <c r="AF57" s="8">
        <f t="shared" si="11"/>
        <v>12182085.661232069</v>
      </c>
    </row>
    <row r="58" spans="1:32" x14ac:dyDescent="0.25">
      <c r="A58" s="5" t="s">
        <v>58</v>
      </c>
      <c r="B58" s="5" t="s">
        <v>249</v>
      </c>
      <c r="C58" s="8">
        <f t="shared" si="3"/>
        <v>1790236.0868323601</v>
      </c>
      <c r="D58" s="8">
        <f t="shared" si="4"/>
        <v>7908245.9327999996</v>
      </c>
      <c r="E58" s="8">
        <f t="shared" si="5"/>
        <v>585446.49</v>
      </c>
      <c r="F58" s="8">
        <f t="shared" si="6"/>
        <v>4576770.6952</v>
      </c>
      <c r="G58" s="8">
        <f t="shared" si="7"/>
        <v>2644232.1453164164</v>
      </c>
      <c r="H58" s="8">
        <f t="shared" si="8"/>
        <v>3837505.0638932707</v>
      </c>
      <c r="I58" s="8">
        <v>4028863</v>
      </c>
      <c r="J58" s="8">
        <f>SUMIF(Vandværker!$G:$G,'Costdrivere 2025'!$A58&amp;"_1",Vandværker!$E:$E)</f>
        <v>0</v>
      </c>
      <c r="K58" s="8">
        <f>SUMIF(Vandværker!$G:$G,'Costdrivere 2025'!$A58&amp;"_2",Vandværker!$E:$E)</f>
        <v>0</v>
      </c>
      <c r="L58" s="8">
        <f>SUMIF(Vandværker!$G:$G,'Costdrivere 2025'!$A58&amp;"_3",Vandværker!$E:$E)</f>
        <v>3988006</v>
      </c>
      <c r="M58" s="8">
        <f>SUMIF(Vandværker!$G:$G,'Costdrivere 2025'!$A58&amp;"_4",Vandværker!$E:$E)</f>
        <v>0</v>
      </c>
      <c r="N58" s="8">
        <v>5</v>
      </c>
      <c r="O58" s="8">
        <v>14</v>
      </c>
      <c r="P58" s="8">
        <v>916</v>
      </c>
      <c r="Q58" s="8">
        <v>1187</v>
      </c>
      <c r="R58" s="8">
        <v>302.93</v>
      </c>
      <c r="S58" s="8">
        <v>32.07</v>
      </c>
      <c r="T58" s="8"/>
      <c r="U58" s="8">
        <v>4704</v>
      </c>
      <c r="V58" s="8">
        <v>22015</v>
      </c>
      <c r="W58" s="8">
        <v>3569772</v>
      </c>
      <c r="X58" s="8">
        <v>3569772</v>
      </c>
      <c r="Y58" s="8">
        <f t="shared" si="9"/>
        <v>3988006</v>
      </c>
      <c r="Z58" s="8">
        <v>26207</v>
      </c>
      <c r="AA58" s="8">
        <v>754.73964579000005</v>
      </c>
      <c r="AB58" s="8">
        <f t="shared" si="10"/>
        <v>3.4723232238010562E-2</v>
      </c>
      <c r="AC58" s="8">
        <v>6826366.0720378328</v>
      </c>
      <c r="AD58" s="8">
        <v>24850883.370572876</v>
      </c>
      <c r="AE58" s="8">
        <v>724216</v>
      </c>
      <c r="AF58" s="8">
        <f t="shared" si="11"/>
        <v>32401465.442610711</v>
      </c>
    </row>
    <row r="59" spans="1:32" x14ac:dyDescent="0.25">
      <c r="A59" s="5" t="s">
        <v>59</v>
      </c>
      <c r="B59" s="5" t="s">
        <v>250</v>
      </c>
      <c r="C59" s="8">
        <f t="shared" si="3"/>
        <v>596697.16350885539</v>
      </c>
      <c r="D59" s="8">
        <f t="shared" si="4"/>
        <v>1846147.8302000002</v>
      </c>
      <c r="E59" s="8">
        <f t="shared" si="5"/>
        <v>313593.75</v>
      </c>
      <c r="F59" s="8">
        <f t="shared" si="6"/>
        <v>2084595.2410000002</v>
      </c>
      <c r="G59" s="8">
        <f t="shared" si="7"/>
        <v>968461.0042269181</v>
      </c>
      <c r="H59" s="8">
        <f t="shared" si="8"/>
        <v>1327116.6917326625</v>
      </c>
      <c r="I59" s="8">
        <v>1207931</v>
      </c>
      <c r="J59" s="8">
        <f>SUMIF(Vandværker!$G:$G,'Costdrivere 2025'!$A59&amp;"_1",Vandværker!$E:$E)</f>
        <v>0</v>
      </c>
      <c r="K59" s="8">
        <f>SUMIF(Vandværker!$G:$G,'Costdrivere 2025'!$A59&amp;"_2",Vandværker!$E:$E)</f>
        <v>860873</v>
      </c>
      <c r="L59" s="8">
        <f>SUMIF(Vandværker!$G:$G,'Costdrivere 2025'!$A59&amp;"_3",Vandværker!$E:$E)</f>
        <v>164818</v>
      </c>
      <c r="M59" s="8">
        <f>SUMIF(Vandværker!$G:$G,'Costdrivere 2025'!$A59&amp;"_4",Vandværker!$E:$E)</f>
        <v>128108</v>
      </c>
      <c r="N59" s="8">
        <v>4</v>
      </c>
      <c r="O59" s="8">
        <v>12</v>
      </c>
      <c r="P59" s="8"/>
      <c r="Q59" s="8"/>
      <c r="R59" s="8">
        <v>133.1</v>
      </c>
      <c r="S59" s="8">
        <v>22</v>
      </c>
      <c r="T59" s="8"/>
      <c r="U59" s="8">
        <v>1204</v>
      </c>
      <c r="V59" s="8">
        <v>7258</v>
      </c>
      <c r="W59" s="8">
        <v>1094263</v>
      </c>
      <c r="X59" s="8">
        <v>1094263</v>
      </c>
      <c r="Y59" s="8">
        <f t="shared" si="9"/>
        <v>1153799</v>
      </c>
      <c r="Z59" s="8">
        <v>13091</v>
      </c>
      <c r="AA59" s="8">
        <v>266.63915999999944</v>
      </c>
      <c r="AB59" s="8">
        <f t="shared" si="10"/>
        <v>4.909631428481858E-2</v>
      </c>
      <c r="AC59" s="8">
        <v>2157798.9703087667</v>
      </c>
      <c r="AD59" s="8">
        <v>6990916.6790939951</v>
      </c>
      <c r="AE59" s="8">
        <v>357000</v>
      </c>
      <c r="AF59" s="8">
        <f t="shared" si="11"/>
        <v>9505715.6494027618</v>
      </c>
    </row>
    <row r="60" spans="1:32" x14ac:dyDescent="0.25">
      <c r="A60" s="5" t="s">
        <v>60</v>
      </c>
      <c r="B60" s="5" t="s">
        <v>251</v>
      </c>
      <c r="C60" s="8">
        <f t="shared" si="3"/>
        <v>1181451.5110305811</v>
      </c>
      <c r="D60" s="8">
        <f t="shared" si="4"/>
        <v>3409381.8985000001</v>
      </c>
      <c r="E60" s="8">
        <f t="shared" si="5"/>
        <v>384001.91000000003</v>
      </c>
      <c r="F60" s="8">
        <f t="shared" si="6"/>
        <v>3620838.273</v>
      </c>
      <c r="G60" s="8">
        <f t="shared" si="7"/>
        <v>1802197.4380877372</v>
      </c>
      <c r="H60" s="8">
        <f t="shared" si="8"/>
        <v>2727549.8870521989</v>
      </c>
      <c r="I60" s="8">
        <v>2554428</v>
      </c>
      <c r="J60" s="8">
        <f>SUMIF(Vandværker!$G:$G,'Costdrivere 2025'!$A60&amp;"_1",Vandværker!$E:$E)</f>
        <v>0</v>
      </c>
      <c r="K60" s="8">
        <f>SUMIF(Vandværker!$G:$G,'Costdrivere 2025'!$A60&amp;"_2",Vandværker!$E:$E)</f>
        <v>2506222</v>
      </c>
      <c r="L60" s="8">
        <f>SUMIF(Vandværker!$G:$G,'Costdrivere 2025'!$A60&amp;"_3",Vandværker!$E:$E)</f>
        <v>15709</v>
      </c>
      <c r="M60" s="8">
        <f>SUMIF(Vandværker!$G:$G,'Costdrivere 2025'!$A60&amp;"_4",Vandværker!$E:$E)</f>
        <v>0</v>
      </c>
      <c r="N60" s="8">
        <v>7</v>
      </c>
      <c r="O60" s="8">
        <v>11</v>
      </c>
      <c r="P60" s="8">
        <v>248</v>
      </c>
      <c r="Q60" s="8"/>
      <c r="R60" s="8">
        <v>222.2</v>
      </c>
      <c r="S60" s="8">
        <v>21.3</v>
      </c>
      <c r="T60" s="8"/>
      <c r="U60" s="8">
        <v>4838</v>
      </c>
      <c r="V60" s="8">
        <v>14414</v>
      </c>
      <c r="W60" s="8">
        <v>2440743.5499999998</v>
      </c>
      <c r="X60" s="8">
        <v>2444878</v>
      </c>
      <c r="Y60" s="8">
        <f t="shared" si="9"/>
        <v>2521931</v>
      </c>
      <c r="Z60" s="8">
        <v>17950</v>
      </c>
      <c r="AA60" s="8">
        <v>746.87900000000002</v>
      </c>
      <c r="AB60" s="8">
        <f t="shared" si="10"/>
        <v>2.4033344089203205E-2</v>
      </c>
      <c r="AC60" s="8">
        <v>3344610.6933646128</v>
      </c>
      <c r="AD60" s="8">
        <v>15837027.409853334</v>
      </c>
      <c r="AE60" s="8">
        <v>1060000</v>
      </c>
      <c r="AF60" s="8">
        <f t="shared" si="11"/>
        <v>20241638.103217945</v>
      </c>
    </row>
    <row r="61" spans="1:32" x14ac:dyDescent="0.25">
      <c r="A61" s="5" t="s">
        <v>61</v>
      </c>
      <c r="B61" s="5" t="s">
        <v>216</v>
      </c>
      <c r="C61" s="8">
        <f t="shared" si="3"/>
        <v>529171.61493238481</v>
      </c>
      <c r="D61" s="8">
        <f t="shared" si="4"/>
        <v>1564741.5341999999</v>
      </c>
      <c r="E61" s="8">
        <f t="shared" si="5"/>
        <v>102524.15000000001</v>
      </c>
      <c r="F61" s="8">
        <f t="shared" si="6"/>
        <v>1414683.8199999998</v>
      </c>
      <c r="G61" s="8">
        <f t="shared" si="7"/>
        <v>993911.69501337805</v>
      </c>
      <c r="H61" s="8">
        <f t="shared" si="8"/>
        <v>1159633.2310899559</v>
      </c>
      <c r="I61" s="8">
        <v>1058908</v>
      </c>
      <c r="J61" s="8">
        <f>SUMIF(Vandværker!$G:$G,'Costdrivere 2025'!$A61&amp;"_1",Vandværker!$E:$E)</f>
        <v>0</v>
      </c>
      <c r="K61" s="8">
        <f>SUMIF(Vandværker!$G:$G,'Costdrivere 2025'!$A61&amp;"_2",Vandværker!$E:$E)</f>
        <v>1036424</v>
      </c>
      <c r="L61" s="8">
        <f>SUMIF(Vandværker!$G:$G,'Costdrivere 2025'!$A61&amp;"_3",Vandværker!$E:$E)</f>
        <v>0</v>
      </c>
      <c r="M61" s="8">
        <f>SUMIF(Vandværker!$G:$G,'Costdrivere 2025'!$A61&amp;"_4",Vandværker!$E:$E)</f>
        <v>0</v>
      </c>
      <c r="N61" s="8"/>
      <c r="O61" s="8">
        <v>2</v>
      </c>
      <c r="P61" s="8"/>
      <c r="Q61" s="8"/>
      <c r="R61" s="8">
        <v>119</v>
      </c>
      <c r="S61" s="8">
        <v>7</v>
      </c>
      <c r="T61" s="8"/>
      <c r="U61" s="8">
        <v>1126</v>
      </c>
      <c r="V61" s="8">
        <v>7469</v>
      </c>
      <c r="W61" s="8">
        <v>941626</v>
      </c>
      <c r="X61" s="8">
        <v>941626</v>
      </c>
      <c r="Y61" s="8">
        <f t="shared" si="9"/>
        <v>1036424</v>
      </c>
      <c r="Z61" s="8">
        <v>8157</v>
      </c>
      <c r="AA61" s="8">
        <v>307.786</v>
      </c>
      <c r="AB61" s="8">
        <f t="shared" si="10"/>
        <v>2.650218008616376E-2</v>
      </c>
      <c r="AC61" s="8">
        <v>1417706.6322410412</v>
      </c>
      <c r="AD61" s="8">
        <v>6353381.3595599998</v>
      </c>
      <c r="AE61" s="8">
        <v>102029.18309859154</v>
      </c>
      <c r="AF61" s="8">
        <f t="shared" si="11"/>
        <v>7873117.174899633</v>
      </c>
    </row>
    <row r="62" spans="1:32" x14ac:dyDescent="0.25">
      <c r="A62" s="5" t="s">
        <v>62</v>
      </c>
      <c r="B62" s="5" t="s">
        <v>217</v>
      </c>
      <c r="C62" s="8">
        <f t="shared" si="3"/>
        <v>901178.34099523455</v>
      </c>
      <c r="D62" s="8">
        <f t="shared" si="4"/>
        <v>2555828.3787000002</v>
      </c>
      <c r="E62" s="8">
        <f t="shared" si="5"/>
        <v>283440.95</v>
      </c>
      <c r="F62" s="8">
        <f t="shared" si="6"/>
        <v>3154786.1799999997</v>
      </c>
      <c r="G62" s="8">
        <f t="shared" si="7"/>
        <v>1713459.9272467627</v>
      </c>
      <c r="H62" s="8">
        <f t="shared" si="8"/>
        <v>2025105.3270432644</v>
      </c>
      <c r="I62" s="8">
        <v>1898256</v>
      </c>
      <c r="J62" s="8">
        <f>SUMIF(Vandværker!$G:$G,'Costdrivere 2025'!$A62&amp;"_1",Vandværker!$E:$E)</f>
        <v>0</v>
      </c>
      <c r="K62" s="8">
        <f>SUMIF(Vandværker!$G:$G,'Costdrivere 2025'!$A62&amp;"_2",Vandværker!$E:$E)</f>
        <v>1839024</v>
      </c>
      <c r="L62" s="8">
        <f>SUMIF(Vandværker!$G:$G,'Costdrivere 2025'!$A62&amp;"_3",Vandværker!$E:$E)</f>
        <v>103</v>
      </c>
      <c r="M62" s="8">
        <f>SUMIF(Vandværker!$G:$G,'Costdrivere 2025'!$A62&amp;"_4",Vandværker!$E:$E)</f>
        <v>0</v>
      </c>
      <c r="N62" s="8">
        <v>6</v>
      </c>
      <c r="O62" s="8">
        <v>8</v>
      </c>
      <c r="P62" s="8"/>
      <c r="Q62" s="8"/>
      <c r="R62" s="8">
        <v>187</v>
      </c>
      <c r="S62" s="8">
        <v>19</v>
      </c>
      <c r="T62" s="8"/>
      <c r="U62" s="8">
        <v>4347</v>
      </c>
      <c r="V62" s="8">
        <v>13632</v>
      </c>
      <c r="W62" s="8">
        <v>1751893</v>
      </c>
      <c r="X62" s="8">
        <v>1753963</v>
      </c>
      <c r="Y62" s="8">
        <f t="shared" si="9"/>
        <v>1839127</v>
      </c>
      <c r="Z62" s="8">
        <v>18312</v>
      </c>
      <c r="AA62" s="8">
        <v>419.80099999999999</v>
      </c>
      <c r="AB62" s="8">
        <f t="shared" si="10"/>
        <v>4.3620667887880209E-2</v>
      </c>
      <c r="AC62" s="8">
        <v>5390376.268786828</v>
      </c>
      <c r="AD62" s="8">
        <v>11489256.600484999</v>
      </c>
      <c r="AE62" s="8">
        <v>1130890.7936721137</v>
      </c>
      <c r="AF62" s="8">
        <f t="shared" si="11"/>
        <v>18010523.662943941</v>
      </c>
    </row>
    <row r="63" spans="1:32" x14ac:dyDescent="0.25">
      <c r="A63" s="5" t="s">
        <v>63</v>
      </c>
      <c r="B63" s="5" t="s">
        <v>288</v>
      </c>
      <c r="C63" s="8">
        <f t="shared" si="3"/>
        <v>1110193.5894148638</v>
      </c>
      <c r="D63" s="8">
        <f t="shared" si="4"/>
        <v>3108508.8315999997</v>
      </c>
      <c r="E63" s="8">
        <f t="shared" si="5"/>
        <v>287842.95</v>
      </c>
      <c r="F63" s="8">
        <f t="shared" si="6"/>
        <v>3005271.7235000003</v>
      </c>
      <c r="G63" s="8">
        <f t="shared" si="7"/>
        <v>1978780.0268712481</v>
      </c>
      <c r="H63" s="8">
        <f t="shared" si="8"/>
        <v>2233691.9332491243</v>
      </c>
      <c r="I63" s="8">
        <v>2386013</v>
      </c>
      <c r="J63" s="8">
        <f>SUMIF(Vandværker!$G:$G,'Costdrivere 2025'!$A63&amp;"_1",Vandværker!$E:$E)</f>
        <v>0</v>
      </c>
      <c r="K63" s="8">
        <f>SUMIF(Vandværker!$G:$G,'Costdrivere 2025'!$A63&amp;"_2",Vandværker!$E:$E)</f>
        <v>2286843</v>
      </c>
      <c r="L63" s="8">
        <f>SUMIF(Vandværker!$G:$G,'Costdrivere 2025'!$A63&amp;"_3",Vandværker!$E:$E)</f>
        <v>0</v>
      </c>
      <c r="M63" s="8">
        <f>SUMIF(Vandværker!$G:$G,'Costdrivere 2025'!$A63&amp;"_4",Vandværker!$E:$E)</f>
        <v>0</v>
      </c>
      <c r="N63" s="8">
        <v>1</v>
      </c>
      <c r="O63" s="8">
        <v>12</v>
      </c>
      <c r="P63" s="8">
        <v>120</v>
      </c>
      <c r="Q63" s="8"/>
      <c r="R63" s="8">
        <v>263.76</v>
      </c>
      <c r="S63" s="8">
        <v>18.170000000000002</v>
      </c>
      <c r="T63" s="8"/>
      <c r="U63" s="8">
        <v>1582</v>
      </c>
      <c r="V63" s="8">
        <v>15982</v>
      </c>
      <c r="W63" s="8">
        <v>1953976</v>
      </c>
      <c r="X63" s="8">
        <v>2110968</v>
      </c>
      <c r="Y63" s="8">
        <f t="shared" si="9"/>
        <v>2286843</v>
      </c>
      <c r="Z63" s="8">
        <v>17645</v>
      </c>
      <c r="AA63" s="8">
        <v>392.43346206006498</v>
      </c>
      <c r="AB63" s="8">
        <f t="shared" si="10"/>
        <v>4.4963036300149389E-2</v>
      </c>
      <c r="AC63" s="8">
        <v>4239128.4608807191</v>
      </c>
      <c r="AD63" s="8">
        <v>12437535.19725219</v>
      </c>
      <c r="AE63" s="8">
        <v>1003369.3872488216</v>
      </c>
      <c r="AF63" s="8">
        <f t="shared" si="11"/>
        <v>17680033.045381732</v>
      </c>
    </row>
    <row r="64" spans="1:32" x14ac:dyDescent="0.25">
      <c r="A64" s="5" t="s">
        <v>64</v>
      </c>
      <c r="B64" s="5" t="s">
        <v>289</v>
      </c>
      <c r="C64" s="8">
        <f t="shared" si="3"/>
        <v>1482946.7365484759</v>
      </c>
      <c r="D64" s="8">
        <f t="shared" si="4"/>
        <v>4439658.2933999998</v>
      </c>
      <c r="E64" s="8">
        <f t="shared" si="5"/>
        <v>313593.75</v>
      </c>
      <c r="F64" s="8">
        <f t="shared" si="6"/>
        <v>3140528.1879000003</v>
      </c>
      <c r="G64" s="8">
        <f t="shared" si="7"/>
        <v>1657498.1947403615</v>
      </c>
      <c r="H64" s="8">
        <f t="shared" si="8"/>
        <v>3319866.1557244761</v>
      </c>
      <c r="I64" s="8">
        <v>3277299</v>
      </c>
      <c r="J64" s="8">
        <f>SUMIF(Vandværker!$G:$G,'Costdrivere 2025'!$A64&amp;"_1",Vandværker!$E:$E)</f>
        <v>2417384</v>
      </c>
      <c r="K64" s="8">
        <f>SUMIF(Vandværker!$G:$G,'Costdrivere 2025'!$A64&amp;"_2",Vandværker!$E:$E)</f>
        <v>608017</v>
      </c>
      <c r="L64" s="8">
        <f>SUMIF(Vandværker!$G:$G,'Costdrivere 2025'!$A64&amp;"_3",Vandværker!$E:$E)</f>
        <v>219370</v>
      </c>
      <c r="M64" s="8">
        <f>SUMIF(Vandværker!$G:$G,'Costdrivere 2025'!$A64&amp;"_4",Vandværker!$E:$E)</f>
        <v>0</v>
      </c>
      <c r="N64" s="8">
        <v>3</v>
      </c>
      <c r="O64" s="8">
        <v>13</v>
      </c>
      <c r="P64" s="8"/>
      <c r="Q64" s="8"/>
      <c r="R64" s="8">
        <v>219.24</v>
      </c>
      <c r="S64" s="8">
        <v>7.45</v>
      </c>
      <c r="T64" s="8"/>
      <c r="U64" s="8">
        <v>5023</v>
      </c>
      <c r="V64" s="8">
        <v>13141</v>
      </c>
      <c r="W64" s="8">
        <v>3037836</v>
      </c>
      <c r="X64" s="8">
        <v>2991083</v>
      </c>
      <c r="Y64" s="8">
        <f t="shared" si="9"/>
        <v>3244771</v>
      </c>
      <c r="Z64" s="8">
        <v>18357</v>
      </c>
      <c r="AA64" s="8">
        <v>876.69825526235343</v>
      </c>
      <c r="AB64" s="8">
        <f t="shared" si="10"/>
        <v>2.0938789246827731E-2</v>
      </c>
      <c r="AC64" s="8">
        <v>3468012.4746471411</v>
      </c>
      <c r="AD64" s="8">
        <v>19080369.772637267</v>
      </c>
      <c r="AE64" s="8">
        <v>475133.03317795583</v>
      </c>
      <c r="AF64" s="8">
        <f t="shared" si="11"/>
        <v>23023515.280462366</v>
      </c>
    </row>
    <row r="65" spans="1:32" x14ac:dyDescent="0.25">
      <c r="A65" s="5" t="s">
        <v>65</v>
      </c>
      <c r="B65" s="5" t="s">
        <v>641</v>
      </c>
      <c r="C65" s="8">
        <f t="shared" si="3"/>
        <v>4984017.3617322966</v>
      </c>
      <c r="D65" s="8">
        <f t="shared" si="4"/>
        <v>14970804.393099999</v>
      </c>
      <c r="E65" s="8">
        <f t="shared" si="5"/>
        <v>1529194.7899999998</v>
      </c>
      <c r="F65" s="8">
        <f t="shared" si="6"/>
        <v>11995229.659999998</v>
      </c>
      <c r="G65" s="8">
        <f t="shared" si="7"/>
        <v>5943897.4682409</v>
      </c>
      <c r="H65" s="8">
        <f t="shared" si="8"/>
        <v>10412260.112848731</v>
      </c>
      <c r="I65" s="8">
        <v>12379553</v>
      </c>
      <c r="J65" s="8">
        <f>SUMIF(Vandværker!$G:$G,'Costdrivere 2025'!$A65&amp;"_1",Vandværker!$E:$E)</f>
        <v>0</v>
      </c>
      <c r="K65" s="8">
        <f>SUMIF(Vandværker!$G:$G,'Costdrivere 2025'!$A65&amp;"_2",Vandværker!$E:$E)</f>
        <v>11496008</v>
      </c>
      <c r="L65" s="8">
        <f>SUMIF(Vandværker!$G:$G,'Costdrivere 2025'!$A65&amp;"_3",Vandværker!$E:$E)</f>
        <v>257735</v>
      </c>
      <c r="M65" s="8">
        <f>SUMIF(Vandværker!$G:$G,'Costdrivere 2025'!$A65&amp;"_4",Vandværker!$E:$E)</f>
        <v>0</v>
      </c>
      <c r="N65" s="8">
        <v>57</v>
      </c>
      <c r="O65" s="8">
        <v>10</v>
      </c>
      <c r="P65" s="8">
        <v>2752</v>
      </c>
      <c r="Q65" s="8"/>
      <c r="R65" s="8">
        <v>982</v>
      </c>
      <c r="S65" s="8">
        <v>116</v>
      </c>
      <c r="T65" s="8"/>
      <c r="U65" s="8">
        <v>2048</v>
      </c>
      <c r="V65" s="8">
        <v>53868</v>
      </c>
      <c r="W65" s="8">
        <v>10848645</v>
      </c>
      <c r="X65" s="8">
        <v>10853292</v>
      </c>
      <c r="Y65" s="8">
        <f t="shared" si="9"/>
        <v>11753743</v>
      </c>
      <c r="Z65" s="8">
        <v>118510</v>
      </c>
      <c r="AA65" s="8">
        <v>1520.1479999999999</v>
      </c>
      <c r="AB65" s="8">
        <f t="shared" si="10"/>
        <v>7.7959514468328092E-2</v>
      </c>
      <c r="AC65" s="8">
        <v>12880075.425740089</v>
      </c>
      <c r="AD65" s="8">
        <v>50244531.805533327</v>
      </c>
      <c r="AE65" s="8">
        <v>1389000</v>
      </c>
      <c r="AF65" s="8">
        <f t="shared" si="11"/>
        <v>64513607.231273413</v>
      </c>
    </row>
    <row r="66" spans="1:32" x14ac:dyDescent="0.25">
      <c r="A66" s="5" t="s">
        <v>66</v>
      </c>
      <c r="B66" s="5" t="s">
        <v>252</v>
      </c>
      <c r="C66" s="8">
        <f t="shared" si="3"/>
        <v>788611.92734086444</v>
      </c>
      <c r="D66" s="8">
        <f t="shared" si="4"/>
        <v>2007657.9879999999</v>
      </c>
      <c r="E66" s="8">
        <f t="shared" si="5"/>
        <v>102524.15000000001</v>
      </c>
      <c r="F66" s="8">
        <f t="shared" si="6"/>
        <v>2148425.7740000002</v>
      </c>
      <c r="G66" s="8">
        <f t="shared" si="7"/>
        <v>1238623.1888202301</v>
      </c>
      <c r="H66" s="8">
        <f t="shared" si="8"/>
        <v>1813228.5349401766</v>
      </c>
      <c r="I66" s="8">
        <v>1639921</v>
      </c>
      <c r="J66" s="8">
        <f>SUMIF(Vandværker!$G:$G,'Costdrivere 2025'!$A66&amp;"_1",Vandværker!$E:$E)</f>
        <v>0</v>
      </c>
      <c r="K66" s="8">
        <f>SUMIF(Vandværker!$G:$G,'Costdrivere 2025'!$A66&amp;"_2",Vandværker!$E:$E)</f>
        <v>1395177</v>
      </c>
      <c r="L66" s="8">
        <f>SUMIF(Vandværker!$G:$G,'Costdrivere 2025'!$A66&amp;"_3",Vandværker!$E:$E)</f>
        <v>0</v>
      </c>
      <c r="M66" s="8">
        <f>SUMIF(Vandværker!$G:$G,'Costdrivere 2025'!$A66&amp;"_4",Vandværker!$E:$E)</f>
        <v>0</v>
      </c>
      <c r="N66" s="8"/>
      <c r="O66" s="8">
        <v>2</v>
      </c>
      <c r="P66" s="8"/>
      <c r="Q66" s="8"/>
      <c r="R66" s="8">
        <v>155.4</v>
      </c>
      <c r="S66" s="8"/>
      <c r="T66" s="8"/>
      <c r="U66" s="8">
        <v>4022</v>
      </c>
      <c r="V66" s="8">
        <v>9525</v>
      </c>
      <c r="W66" s="8">
        <v>1549034</v>
      </c>
      <c r="X66" s="8">
        <v>1549034</v>
      </c>
      <c r="Y66" s="8">
        <f t="shared" si="9"/>
        <v>1395177</v>
      </c>
      <c r="Z66" s="8">
        <v>9539</v>
      </c>
      <c r="AA66" s="8">
        <v>554.15</v>
      </c>
      <c r="AB66" s="8">
        <f t="shared" si="10"/>
        <v>1.7213750789497429E-2</v>
      </c>
      <c r="AC66" s="8">
        <v>4452121.2931235554</v>
      </c>
      <c r="AD66" s="8">
        <v>16652639.118541669</v>
      </c>
      <c r="AE66" s="8">
        <v>423000</v>
      </c>
      <c r="AF66" s="8">
        <f t="shared" si="11"/>
        <v>21527760.411665224</v>
      </c>
    </row>
    <row r="67" spans="1:32" x14ac:dyDescent="0.25">
      <c r="A67" s="5" t="s">
        <v>67</v>
      </c>
      <c r="B67" s="5" t="s">
        <v>218</v>
      </c>
      <c r="C67" s="8">
        <f t="shared" si="3"/>
        <v>364746.50502647099</v>
      </c>
      <c r="D67" s="8">
        <f t="shared" si="4"/>
        <v>1538833.5618</v>
      </c>
      <c r="E67" s="8">
        <f t="shared" si="5"/>
        <v>208395.15</v>
      </c>
      <c r="F67" s="8">
        <f t="shared" si="6"/>
        <v>2183830.5987999998</v>
      </c>
      <c r="G67" s="8">
        <f t="shared" si="7"/>
        <v>1282683.7732867422</v>
      </c>
      <c r="H67" s="8">
        <f t="shared" si="8"/>
        <v>3243901.0057399059</v>
      </c>
      <c r="I67" s="8">
        <v>704172</v>
      </c>
      <c r="J67" s="8">
        <f>SUMIF(Vandværker!$G:$G,'Costdrivere 2025'!$A67&amp;"_1",Vandværker!$E:$E)</f>
        <v>0</v>
      </c>
      <c r="K67" s="8">
        <f>SUMIF(Vandværker!$G:$G,'Costdrivere 2025'!$A67&amp;"_2",Vandværker!$E:$E)</f>
        <v>0</v>
      </c>
      <c r="L67" s="8">
        <f>SUMIF(Vandværker!$G:$G,'Costdrivere 2025'!$A67&amp;"_3",Vandværker!$E:$E)</f>
        <v>655852</v>
      </c>
      <c r="M67" s="8">
        <f>SUMIF(Vandværker!$G:$G,'Costdrivere 2025'!$A67&amp;"_4",Vandværker!$E:$E)</f>
        <v>0</v>
      </c>
      <c r="N67" s="8"/>
      <c r="O67" s="8"/>
      <c r="P67" s="8">
        <v>300</v>
      </c>
      <c r="Q67" s="8">
        <v>1330</v>
      </c>
      <c r="R67" s="8">
        <v>130</v>
      </c>
      <c r="S67" s="8">
        <v>32.04</v>
      </c>
      <c r="T67" s="8"/>
      <c r="U67" s="8">
        <v>224</v>
      </c>
      <c r="V67" s="8">
        <v>9900</v>
      </c>
      <c r="W67" s="8">
        <v>2960530</v>
      </c>
      <c r="X67" s="8">
        <v>2283092</v>
      </c>
      <c r="Y67" s="8">
        <f t="shared" ref="Y67:Y77" si="12">SUM(J67:M67)</f>
        <v>655852</v>
      </c>
      <c r="Z67" s="8">
        <v>19429</v>
      </c>
      <c r="AA67" s="8">
        <v>178.9598</v>
      </c>
      <c r="AB67" s="8">
        <f t="shared" ref="AB67:AB77" si="13">IF(AA67&gt;0,Z67/AA67/1000,0)</f>
        <v>0.10856628136598274</v>
      </c>
      <c r="AC67" s="8">
        <v>1082260.9042526218</v>
      </c>
      <c r="AD67" s="8">
        <v>7414998.6038494641</v>
      </c>
      <c r="AE67" s="8">
        <v>337108</v>
      </c>
      <c r="AF67" s="8">
        <f t="shared" ref="AF67:AF77" si="14">SUM(AC67:AE67)</f>
        <v>8834367.5081020854</v>
      </c>
    </row>
    <row r="68" spans="1:32" x14ac:dyDescent="0.25">
      <c r="A68" s="5" t="s">
        <v>68</v>
      </c>
      <c r="B68" s="5" t="s">
        <v>558</v>
      </c>
      <c r="C68" s="8">
        <f>1.6917 * (I68 ^ 0.9121)</f>
        <v>834996.47107465332</v>
      </c>
      <c r="D68" s="8">
        <f>IF(SUM(J68:M68)=0,0,285172.4638+1.2346*(J68+K68)+1.9115*L68+1.4292*M68)</f>
        <v>2457493.7694999999</v>
      </c>
      <c r="E68" s="8">
        <f>IF(SUM(N68:Q68)=0,0,72371.35+15076.4*(N68+O68)+162.32*P68+65.66*Q68)</f>
        <v>182023.55</v>
      </c>
      <c r="F68" s="8">
        <f>IF(SUM(R68:U68)=0,0,7395.11*R68+36417.47*(S68+T68)+248.44*U68)</f>
        <v>2600544.1710000001</v>
      </c>
      <c r="G68" s="8">
        <f>IF(V68=0,0,309.935*V68^0.9052)</f>
        <v>1591709.4586966278</v>
      </c>
      <c r="H68" s="8">
        <f>1.1738*4.2676*W68^0.898</f>
        <v>3407418.4600313427</v>
      </c>
      <c r="I68" s="8">
        <v>1745968</v>
      </c>
      <c r="J68" s="8">
        <f>SUMIF(Vandværker!$G:$G,'Costdrivere 2025'!$A68&amp;"_1",Vandværker!$E:$E)</f>
        <v>0</v>
      </c>
      <c r="K68" s="8">
        <f>SUMIF(Vandværker!$G:$G,'Costdrivere 2025'!$A68&amp;"_2",Vandværker!$E:$E)</f>
        <v>1438492</v>
      </c>
      <c r="L68" s="8">
        <f>SUMIF(Vandværker!$G:$G,'Costdrivere 2025'!$A68&amp;"_3",Vandværker!$E:$E)</f>
        <v>207355</v>
      </c>
      <c r="M68" s="8">
        <f>SUMIF(Vandværker!$G:$G,'Costdrivere 2025'!$A68&amp;"_4",Vandværker!$E:$E)</f>
        <v>0</v>
      </c>
      <c r="N68" s="8"/>
      <c r="O68" s="8"/>
      <c r="P68" s="8"/>
      <c r="Q68" s="8">
        <v>1670</v>
      </c>
      <c r="R68" s="8">
        <v>215.5</v>
      </c>
      <c r="S68" s="8">
        <v>25.8</v>
      </c>
      <c r="T68" s="8"/>
      <c r="U68" s="8">
        <v>271</v>
      </c>
      <c r="V68" s="8">
        <v>12566</v>
      </c>
      <c r="W68" s="8">
        <v>3127183</v>
      </c>
      <c r="X68" s="8">
        <v>3127183</v>
      </c>
      <c r="Y68" s="8">
        <f t="shared" si="12"/>
        <v>1645847</v>
      </c>
      <c r="Z68" s="8">
        <v>38777</v>
      </c>
      <c r="AA68" s="8">
        <v>282.0080931571801</v>
      </c>
      <c r="AB68" s="8">
        <f t="shared" si="13"/>
        <v>0.13750314597669097</v>
      </c>
      <c r="AC68" s="8">
        <v>2133638.5356763764</v>
      </c>
      <c r="AD68" s="8">
        <v>10226230.471972059</v>
      </c>
      <c r="AE68" s="8">
        <v>1468481.5548</v>
      </c>
      <c r="AF68" s="8">
        <f t="shared" si="14"/>
        <v>13828350.562448436</v>
      </c>
    </row>
    <row r="69" spans="1:32" x14ac:dyDescent="0.25">
      <c r="A69" s="5" t="s">
        <v>69</v>
      </c>
      <c r="B69" s="5" t="s">
        <v>655</v>
      </c>
      <c r="C69" s="8">
        <f t="shared" ref="C69:C77" si="15">1.6917 * (I69 ^ 0.9121)</f>
        <v>793192.41346570675</v>
      </c>
      <c r="D69" s="8">
        <f t="shared" ref="D69:D77" si="16">IF(SUM(J69:M69)=0,0,285172.4638+1.2346*(J69+K69)+1.9115*L69+1.4292*M69)</f>
        <v>2750150.0997000001</v>
      </c>
      <c r="E69" s="8">
        <f t="shared" ref="E69:E77" si="17">IF(SUM(N69:Q69)=0,0,72371.35+15076.4*(N69+O69)+162.32*P69+65.66*Q69)</f>
        <v>303243.99</v>
      </c>
      <c r="F69" s="8">
        <f t="shared" ref="F69:F77" si="18">IF(SUM(R69:U69)=0,0,7395.11*R69+36417.47*(S69+T69)+248.44*U69)</f>
        <v>1999621.9706999999</v>
      </c>
      <c r="G69" s="8">
        <f t="shared" ref="G69:G77" si="19">IF(V69=0,0,309.935*V69^0.9052)</f>
        <v>1001978.8535368056</v>
      </c>
      <c r="H69" s="8">
        <f>1.1738*4.2676*W69^0.898</f>
        <v>1797432.3087300626</v>
      </c>
      <c r="I69" s="8">
        <v>1650367</v>
      </c>
      <c r="J69" s="8">
        <f>SUMIF(Vandværker!$G:$G,'Costdrivere 2025'!$A69&amp;"_1",Vandværker!$E:$E)</f>
        <v>394920</v>
      </c>
      <c r="K69" s="8">
        <f>SUMIF(Vandværker!$G:$G,'Costdrivere 2025'!$A69&amp;"_2",Vandværker!$E:$E)</f>
        <v>624214</v>
      </c>
      <c r="L69" s="8">
        <f>SUMIF(Vandværker!$G:$G,'Costdrivere 2025'!$A69&amp;"_3",Vandværker!$E:$E)</f>
        <v>631313</v>
      </c>
      <c r="M69" s="8">
        <f>SUMIF(Vandværker!$G:$G,'Costdrivere 2025'!$A69&amp;"_4",Vandværker!$E:$E)</f>
        <v>0</v>
      </c>
      <c r="N69" s="8">
        <v>2</v>
      </c>
      <c r="O69" s="8">
        <v>12</v>
      </c>
      <c r="P69" s="8">
        <v>122</v>
      </c>
      <c r="Q69" s="8"/>
      <c r="R69" s="8">
        <v>154.44</v>
      </c>
      <c r="S69" s="8">
        <v>11.09</v>
      </c>
      <c r="T69" s="8"/>
      <c r="U69" s="8">
        <v>1826</v>
      </c>
      <c r="V69" s="8">
        <v>7536</v>
      </c>
      <c r="W69" s="8">
        <v>1534014</v>
      </c>
      <c r="X69" s="8">
        <v>1640558</v>
      </c>
      <c r="Y69" s="8">
        <f t="shared" si="12"/>
        <v>1650447</v>
      </c>
      <c r="Z69" s="8">
        <v>12156</v>
      </c>
      <c r="AA69" s="8">
        <v>327.90699999999998</v>
      </c>
      <c r="AB69" s="8">
        <f t="shared" si="13"/>
        <v>3.7071486732518671E-2</v>
      </c>
      <c r="AC69" s="8">
        <v>3448848.611095632</v>
      </c>
      <c r="AD69" s="8">
        <v>7733188.8695299979</v>
      </c>
      <c r="AE69" s="8">
        <v>693000</v>
      </c>
      <c r="AF69" s="8">
        <f t="shared" si="14"/>
        <v>11875037.480625629</v>
      </c>
    </row>
    <row r="70" spans="1:32" x14ac:dyDescent="0.25">
      <c r="A70" s="5" t="s">
        <v>70</v>
      </c>
      <c r="B70" s="5" t="s">
        <v>219</v>
      </c>
      <c r="C70" s="8">
        <f t="shared" si="15"/>
        <v>4135501.6246460294</v>
      </c>
      <c r="D70" s="8">
        <f t="shared" si="16"/>
        <v>18784035.524900001</v>
      </c>
      <c r="E70" s="8">
        <f t="shared" si="17"/>
        <v>984285.19</v>
      </c>
      <c r="F70" s="8">
        <f t="shared" si="18"/>
        <v>11617802.845400002</v>
      </c>
      <c r="G70" s="8">
        <f t="shared" si="19"/>
        <v>6046184.2902272167</v>
      </c>
      <c r="H70" s="8">
        <f>1.1738*4.2676*W70^0.898</f>
        <v>9079307.5615839884</v>
      </c>
      <c r="I70" s="8">
        <v>10088872</v>
      </c>
      <c r="J70" s="8">
        <f>SUMIF(Vandværker!$G:$G,'Costdrivere 2025'!$A70&amp;"_1",Vandværker!$E:$E)</f>
        <v>0</v>
      </c>
      <c r="K70" s="8">
        <f>SUMIF(Vandværker!$G:$G,'Costdrivere 2025'!$A70&amp;"_2",Vandværker!$E:$E)</f>
        <v>451671</v>
      </c>
      <c r="L70" s="8">
        <f>SUMIF(Vandværker!$G:$G,'Costdrivere 2025'!$A70&amp;"_3",Vandværker!$E:$E)</f>
        <v>9385943</v>
      </c>
      <c r="M70" s="8">
        <f>SUMIF(Vandværker!$G:$G,'Costdrivere 2025'!$A70&amp;"_4",Vandværker!$E:$E)</f>
        <v>0</v>
      </c>
      <c r="N70" s="8">
        <v>2</v>
      </c>
      <c r="O70" s="8">
        <v>9</v>
      </c>
      <c r="P70" s="8">
        <v>1967</v>
      </c>
      <c r="Q70" s="8">
        <v>6500</v>
      </c>
      <c r="R70" s="8">
        <v>614.51</v>
      </c>
      <c r="S70" s="8">
        <v>131.78</v>
      </c>
      <c r="T70" s="8">
        <v>40.409999999999997</v>
      </c>
      <c r="U70" s="8">
        <v>3231</v>
      </c>
      <c r="V70" s="8">
        <v>54893</v>
      </c>
      <c r="W70" s="8">
        <v>9313775</v>
      </c>
      <c r="X70" s="8">
        <v>9320166</v>
      </c>
      <c r="Y70" s="8">
        <f t="shared" si="12"/>
        <v>9837614</v>
      </c>
      <c r="Z70" s="8">
        <v>119993</v>
      </c>
      <c r="AA70" s="8">
        <v>1094.635</v>
      </c>
      <c r="AB70" s="8">
        <f t="shared" si="13"/>
        <v>0.10961918813120355</v>
      </c>
      <c r="AC70" s="8">
        <v>13515901.816251967</v>
      </c>
      <c r="AD70" s="8">
        <v>42432453.992667928</v>
      </c>
      <c r="AE70" s="8">
        <v>2603402.7397260275</v>
      </c>
      <c r="AF70" s="8">
        <f t="shared" si="14"/>
        <v>58551758.548645921</v>
      </c>
    </row>
    <row r="71" spans="1:32" x14ac:dyDescent="0.25">
      <c r="A71" s="5" t="s">
        <v>72</v>
      </c>
      <c r="B71" s="5" t="s">
        <v>71</v>
      </c>
      <c r="C71" s="8">
        <f t="shared" si="15"/>
        <v>0</v>
      </c>
      <c r="D71" s="8">
        <f t="shared" si="16"/>
        <v>0</v>
      </c>
      <c r="E71" s="8">
        <f t="shared" si="17"/>
        <v>343746.55000000005</v>
      </c>
      <c r="F71" s="8">
        <f t="shared" si="18"/>
        <v>2484.4</v>
      </c>
      <c r="G71" s="8">
        <f t="shared" si="19"/>
        <v>309.935</v>
      </c>
      <c r="H71" s="8">
        <f t="shared" ref="H71:H77" si="20">1.1738*4.2676*W71^0.898</f>
        <v>1661705.4903279142</v>
      </c>
      <c r="I71" s="8"/>
      <c r="J71" s="8">
        <f>SUMIF(Vandværker!$G:$G,'Costdrivere 2025'!$A71&amp;"_1",Vandværker!$E:$E)</f>
        <v>0</v>
      </c>
      <c r="K71" s="8">
        <f>SUMIF(Vandværker!$G:$G,'Costdrivere 2025'!$A71&amp;"_2",Vandværker!$E:$E)</f>
        <v>0</v>
      </c>
      <c r="L71" s="8">
        <f>SUMIF(Vandværker!$G:$G,'Costdrivere 2025'!$A71&amp;"_3",Vandværker!$E:$E)</f>
        <v>0</v>
      </c>
      <c r="M71" s="8">
        <f>SUMIF(Vandværker!$G:$G,'Costdrivere 2025'!$A71&amp;"_4",Vandværker!$E:$E)</f>
        <v>0</v>
      </c>
      <c r="N71" s="8">
        <v>9</v>
      </c>
      <c r="O71" s="8">
        <v>9</v>
      </c>
      <c r="P71" s="8"/>
      <c r="Q71" s="8"/>
      <c r="R71" s="8"/>
      <c r="S71" s="8"/>
      <c r="T71" s="8"/>
      <c r="U71" s="8">
        <v>10</v>
      </c>
      <c r="V71" s="8">
        <v>1</v>
      </c>
      <c r="W71" s="8">
        <v>1405587</v>
      </c>
      <c r="X71" s="8">
        <v>1405587</v>
      </c>
      <c r="Y71" s="8">
        <f t="shared" si="12"/>
        <v>0</v>
      </c>
      <c r="Z71" s="8"/>
      <c r="AA71" s="8">
        <v>23.658000000000001</v>
      </c>
      <c r="AB71" s="8">
        <f t="shared" si="13"/>
        <v>0</v>
      </c>
      <c r="AC71" s="8">
        <v>0</v>
      </c>
      <c r="AD71" s="8">
        <v>921895.88192669954</v>
      </c>
      <c r="AE71" s="8">
        <v>50000</v>
      </c>
      <c r="AF71" s="8">
        <f t="shared" si="14"/>
        <v>971895.88192669954</v>
      </c>
    </row>
    <row r="72" spans="1:32" x14ac:dyDescent="0.25">
      <c r="A72" s="5" t="s">
        <v>73</v>
      </c>
      <c r="B72" s="5" t="s">
        <v>220</v>
      </c>
      <c r="C72" s="8">
        <f t="shared" si="15"/>
        <v>525525.31504429609</v>
      </c>
      <c r="D72" s="8">
        <f t="shared" si="16"/>
        <v>1829202.9646999999</v>
      </c>
      <c r="E72" s="8">
        <f t="shared" si="17"/>
        <v>115042.15</v>
      </c>
      <c r="F72" s="8">
        <f t="shared" si="18"/>
        <v>788615.43959999993</v>
      </c>
      <c r="G72" s="8">
        <f t="shared" si="19"/>
        <v>707281.37479772465</v>
      </c>
      <c r="H72" s="8">
        <f t="shared" si="20"/>
        <v>1179562.2256976829</v>
      </c>
      <c r="I72" s="8">
        <v>1050911</v>
      </c>
      <c r="J72" s="8">
        <f>SUMIF(Vandværker!$G:$G,'Costdrivere 2025'!$A72&amp;"_1",Vandværker!$E:$E)</f>
        <v>0</v>
      </c>
      <c r="K72" s="8">
        <f>SUMIF(Vandværker!$G:$G,'Costdrivere 2025'!$A72&amp;"_2",Vandværker!$E:$E)</f>
        <v>638449</v>
      </c>
      <c r="L72" s="8">
        <f>SUMIF(Vandværker!$G:$G,'Costdrivere 2025'!$A72&amp;"_3",Vandværker!$E:$E)</f>
        <v>395397</v>
      </c>
      <c r="M72" s="8">
        <f>SUMIF(Vandværker!$G:$G,'Costdrivere 2025'!$A72&amp;"_4",Vandværker!$E:$E)</f>
        <v>0</v>
      </c>
      <c r="N72" s="8">
        <v>1</v>
      </c>
      <c r="O72" s="8"/>
      <c r="P72" s="8">
        <v>170</v>
      </c>
      <c r="Q72" s="8"/>
      <c r="R72" s="8">
        <v>96.36</v>
      </c>
      <c r="S72" s="8"/>
      <c r="T72" s="8"/>
      <c r="U72" s="8">
        <v>306</v>
      </c>
      <c r="V72" s="8">
        <v>5129</v>
      </c>
      <c r="W72" s="8">
        <v>959664</v>
      </c>
      <c r="X72" s="8">
        <v>959664</v>
      </c>
      <c r="Y72" s="8">
        <f t="shared" si="12"/>
        <v>1033846</v>
      </c>
      <c r="Z72" s="8">
        <v>5611</v>
      </c>
      <c r="AA72" s="8">
        <v>181.96794198733102</v>
      </c>
      <c r="AB72" s="8">
        <f t="shared" si="13"/>
        <v>3.0835101714733078E-2</v>
      </c>
      <c r="AC72" s="8">
        <v>2327526.2385842009</v>
      </c>
      <c r="AD72" s="8">
        <v>4932425.2349153077</v>
      </c>
      <c r="AE72" s="8">
        <v>448000</v>
      </c>
      <c r="AF72" s="8">
        <f t="shared" si="14"/>
        <v>7707951.4734995086</v>
      </c>
    </row>
    <row r="73" spans="1:32" x14ac:dyDescent="0.25">
      <c r="A73" s="5" t="s">
        <v>74</v>
      </c>
      <c r="B73" s="5" t="s">
        <v>253</v>
      </c>
      <c r="C73" s="8">
        <f t="shared" si="15"/>
        <v>1146110.1250488525</v>
      </c>
      <c r="D73" s="8">
        <f t="shared" si="16"/>
        <v>3308883.1769999997</v>
      </c>
      <c r="E73" s="8">
        <f t="shared" si="17"/>
        <v>482871.95</v>
      </c>
      <c r="F73" s="8">
        <f t="shared" si="18"/>
        <v>3553946.1058999998</v>
      </c>
      <c r="G73" s="8">
        <f t="shared" si="19"/>
        <v>1697523.2009825383</v>
      </c>
      <c r="H73" s="8">
        <f t="shared" si="20"/>
        <v>2588448.4705954785</v>
      </c>
      <c r="I73" s="8">
        <v>2470774</v>
      </c>
      <c r="J73" s="8">
        <f>SUMIF(Vandværker!$G:$G,'Costdrivere 2025'!$A73&amp;"_1",Vandværker!$E:$E)</f>
        <v>1009706</v>
      </c>
      <c r="K73" s="8">
        <f>SUMIF(Vandværker!$G:$G,'Costdrivere 2025'!$A73&amp;"_2",Vandværker!$E:$E)</f>
        <v>1439436</v>
      </c>
      <c r="L73" s="8">
        <f>SUMIF(Vandværker!$G:$G,'Costdrivere 2025'!$A73&amp;"_3",Vandværker!$E:$E)</f>
        <v>0</v>
      </c>
      <c r="M73" s="8">
        <f>SUMIF(Vandværker!$G:$G,'Costdrivere 2025'!$A73&amp;"_4",Vandværker!$E:$E)</f>
        <v>0</v>
      </c>
      <c r="N73" s="8">
        <v>7</v>
      </c>
      <c r="O73" s="8">
        <v>3</v>
      </c>
      <c r="P73" s="8">
        <v>1156</v>
      </c>
      <c r="Q73" s="8">
        <v>1098</v>
      </c>
      <c r="R73" s="8">
        <v>218.88</v>
      </c>
      <c r="S73" s="8">
        <v>43.53</v>
      </c>
      <c r="T73" s="8"/>
      <c r="U73" s="8">
        <v>1409</v>
      </c>
      <c r="V73" s="8">
        <v>13492</v>
      </c>
      <c r="W73" s="8">
        <v>2302538</v>
      </c>
      <c r="X73" s="8">
        <v>2302538</v>
      </c>
      <c r="Y73" s="8">
        <f t="shared" si="12"/>
        <v>2449142</v>
      </c>
      <c r="Z73" s="8">
        <v>55897</v>
      </c>
      <c r="AA73" s="8">
        <v>370.46499999999997</v>
      </c>
      <c r="AB73" s="8">
        <f t="shared" si="13"/>
        <v>0.15088334930425276</v>
      </c>
      <c r="AC73" s="8">
        <v>2847582.9684076621</v>
      </c>
      <c r="AD73" s="8">
        <v>11801047.822406668</v>
      </c>
      <c r="AE73" s="8">
        <v>332343.46666666667</v>
      </c>
      <c r="AF73" s="8">
        <f t="shared" si="14"/>
        <v>14980974.257480998</v>
      </c>
    </row>
    <row r="74" spans="1:32" x14ac:dyDescent="0.25">
      <c r="A74" s="5" t="s">
        <v>75</v>
      </c>
      <c r="B74" s="5" t="s">
        <v>254</v>
      </c>
      <c r="C74" s="8">
        <f t="shared" si="15"/>
        <v>1670023.9367778799</v>
      </c>
      <c r="D74" s="8">
        <f t="shared" si="16"/>
        <v>7327318.1447999999</v>
      </c>
      <c r="E74" s="8">
        <f t="shared" si="17"/>
        <v>513048.51</v>
      </c>
      <c r="F74" s="8">
        <f t="shared" si="18"/>
        <v>5599097.3930000011</v>
      </c>
      <c r="G74" s="8">
        <f t="shared" si="19"/>
        <v>2437002.8977482873</v>
      </c>
      <c r="H74" s="8">
        <f t="shared" si="20"/>
        <v>3565818.9259869405</v>
      </c>
      <c r="I74" s="8">
        <v>3733238</v>
      </c>
      <c r="J74" s="8">
        <f>SUMIF(Vandværker!$G:$G,'Costdrivere 2025'!$A74&amp;"_1",Vandværker!$E:$E)</f>
        <v>0</v>
      </c>
      <c r="K74" s="8">
        <f>SUMIF(Vandværker!$G:$G,'Costdrivere 2025'!$A74&amp;"_2",Vandværker!$E:$E)</f>
        <v>0</v>
      </c>
      <c r="L74" s="8">
        <f>SUMIF(Vandværker!$G:$G,'Costdrivere 2025'!$A74&amp;"_3",Vandværker!$E:$E)</f>
        <v>3684094</v>
      </c>
      <c r="M74" s="8">
        <f>SUMIF(Vandværker!$G:$G,'Costdrivere 2025'!$A74&amp;"_4",Vandværker!$E:$E)</f>
        <v>0</v>
      </c>
      <c r="N74" s="8"/>
      <c r="O74" s="8">
        <v>16</v>
      </c>
      <c r="P74" s="8">
        <v>639</v>
      </c>
      <c r="Q74" s="8">
        <v>1458</v>
      </c>
      <c r="R74" s="8">
        <v>450.6</v>
      </c>
      <c r="S74" s="8">
        <v>44.1</v>
      </c>
      <c r="T74" s="8"/>
      <c r="U74" s="8">
        <v>2660</v>
      </c>
      <c r="V74" s="8">
        <v>20117</v>
      </c>
      <c r="W74" s="8">
        <v>3289490.15</v>
      </c>
      <c r="X74" s="8">
        <v>3289000</v>
      </c>
      <c r="Y74" s="8">
        <f t="shared" si="12"/>
        <v>3684094</v>
      </c>
      <c r="Z74" s="8">
        <v>30038</v>
      </c>
      <c r="AA74" s="8">
        <v>1134.6942900000001</v>
      </c>
      <c r="AB74" s="8">
        <f t="shared" si="13"/>
        <v>2.6472328507090657E-2</v>
      </c>
      <c r="AC74" s="8">
        <v>7560077.9948743936</v>
      </c>
      <c r="AD74" s="8">
        <v>23377621.149391662</v>
      </c>
      <c r="AE74" s="8">
        <v>2134000</v>
      </c>
      <c r="AF74" s="8">
        <f t="shared" si="14"/>
        <v>33071699.144266054</v>
      </c>
    </row>
    <row r="75" spans="1:32" x14ac:dyDescent="0.25">
      <c r="A75" s="5" t="s">
        <v>76</v>
      </c>
      <c r="B75" s="5" t="s">
        <v>571</v>
      </c>
      <c r="C75" s="8">
        <f t="shared" si="15"/>
        <v>614054.81413961016</v>
      </c>
      <c r="D75" s="8">
        <f t="shared" si="16"/>
        <v>1970065.6001000002</v>
      </c>
      <c r="E75" s="8">
        <f t="shared" si="17"/>
        <v>267900.07799999998</v>
      </c>
      <c r="F75" s="8">
        <f t="shared" si="18"/>
        <v>1850463.4649999999</v>
      </c>
      <c r="G75" s="8">
        <f t="shared" si="19"/>
        <v>1253798.2678203131</v>
      </c>
      <c r="H75" s="8">
        <f t="shared" si="20"/>
        <v>1295196.2020405724</v>
      </c>
      <c r="I75" s="8">
        <v>1246509</v>
      </c>
      <c r="J75" s="8">
        <f>SUMIF(Vandværker!$G:$G,'Costdrivere 2025'!$A75&amp;"_1",Vandværker!$E:$E)</f>
        <v>0</v>
      </c>
      <c r="K75" s="8">
        <f>SUMIF(Vandværker!$G:$G,'Costdrivere 2025'!$A75&amp;"_2",Vandværker!$E:$E)</f>
        <v>823143</v>
      </c>
      <c r="L75" s="8">
        <f>SUMIF(Vandværker!$G:$G,'Costdrivere 2025'!$A75&amp;"_3",Vandværker!$E:$E)</f>
        <v>349799</v>
      </c>
      <c r="M75" s="8">
        <f>SUMIF(Vandværker!$G:$G,'Costdrivere 2025'!$A75&amp;"_4",Vandværker!$E:$E)</f>
        <v>0</v>
      </c>
      <c r="N75" s="8">
        <v>1</v>
      </c>
      <c r="O75" s="8">
        <v>10</v>
      </c>
      <c r="P75" s="8">
        <v>182.9</v>
      </c>
      <c r="Q75" s="8"/>
      <c r="R75" s="8">
        <v>161.6</v>
      </c>
      <c r="S75" s="8">
        <v>6.7</v>
      </c>
      <c r="T75" s="8"/>
      <c r="U75" s="8">
        <v>1656</v>
      </c>
      <c r="V75" s="8">
        <v>9654</v>
      </c>
      <c r="W75" s="8">
        <v>1064994</v>
      </c>
      <c r="X75" s="8">
        <v>1064994</v>
      </c>
      <c r="Y75" s="8">
        <f t="shared" si="12"/>
        <v>1172942</v>
      </c>
      <c r="Z75" s="8">
        <v>12769</v>
      </c>
      <c r="AA75" s="8">
        <v>337.59001079998797</v>
      </c>
      <c r="AB75" s="8">
        <f t="shared" si="13"/>
        <v>3.7823986467316571E-2</v>
      </c>
      <c r="AC75" s="8">
        <v>3791108.5989947738</v>
      </c>
      <c r="AD75" s="8">
        <v>11102801.960523549</v>
      </c>
      <c r="AE75" s="8">
        <v>135000</v>
      </c>
      <c r="AF75" s="8">
        <f t="shared" si="14"/>
        <v>15028910.559518322</v>
      </c>
    </row>
    <row r="76" spans="1:32" x14ac:dyDescent="0.25">
      <c r="A76" s="5" t="s">
        <v>77</v>
      </c>
      <c r="B76" s="5" t="s">
        <v>666</v>
      </c>
      <c r="C76" s="8">
        <f t="shared" si="15"/>
        <v>3185698.8687172676</v>
      </c>
      <c r="D76" s="8">
        <f t="shared" si="16"/>
        <v>8962969.6855999995</v>
      </c>
      <c r="E76" s="8">
        <f t="shared" si="17"/>
        <v>653901.35</v>
      </c>
      <c r="F76" s="8">
        <f t="shared" si="18"/>
        <v>7568810.2160999989</v>
      </c>
      <c r="G76" s="8">
        <f t="shared" si="19"/>
        <v>2912483.842115025</v>
      </c>
      <c r="H76" s="8">
        <f t="shared" si="20"/>
        <v>6740689.0616625054</v>
      </c>
      <c r="I76" s="8">
        <v>7578758</v>
      </c>
      <c r="J76" s="8">
        <f>SUMIF(Vandværker!$G:$G,'Costdrivere 2025'!$A76&amp;"_1",Vandværker!$E:$E)</f>
        <v>2725244</v>
      </c>
      <c r="K76" s="8">
        <f>SUMIF(Vandværker!$G:$G,'Costdrivere 2025'!$A76&amp;"_2",Vandværker!$E:$E)</f>
        <v>4303589</v>
      </c>
      <c r="L76" s="8">
        <f>SUMIF(Vandværker!$G:$G,'Costdrivere 2025'!$A76&amp;"_3",Vandværker!$E:$E)</f>
        <v>0</v>
      </c>
      <c r="M76" s="8">
        <f>SUMIF(Vandværker!$G:$G,'Costdrivere 2025'!$A76&amp;"_4",Vandværker!$E:$E)</f>
        <v>0</v>
      </c>
      <c r="N76" s="8">
        <v>10</v>
      </c>
      <c r="O76" s="8">
        <v>10</v>
      </c>
      <c r="P76" s="8">
        <v>1725</v>
      </c>
      <c r="Q76" s="8"/>
      <c r="R76" s="8">
        <v>500.03</v>
      </c>
      <c r="S76" s="8">
        <v>26.88</v>
      </c>
      <c r="T76" s="8">
        <v>52.36</v>
      </c>
      <c r="U76" s="8">
        <v>3966</v>
      </c>
      <c r="V76" s="8">
        <v>24495</v>
      </c>
      <c r="W76" s="8">
        <v>6684750</v>
      </c>
      <c r="X76" s="8">
        <v>6684750</v>
      </c>
      <c r="Y76" s="8">
        <f t="shared" si="12"/>
        <v>7028833</v>
      </c>
      <c r="Z76" s="8">
        <v>95421</v>
      </c>
      <c r="AA76" s="8">
        <v>750.31242000000009</v>
      </c>
      <c r="AB76" s="8">
        <f t="shared" si="13"/>
        <v>0.12717502397201419</v>
      </c>
      <c r="AC76" s="8">
        <v>11093119.734393016</v>
      </c>
      <c r="AD76" s="8">
        <v>30319776.62575667</v>
      </c>
      <c r="AE76" s="8">
        <v>1906000</v>
      </c>
      <c r="AF76" s="8">
        <f t="shared" si="14"/>
        <v>43318896.360149682</v>
      </c>
    </row>
    <row r="77" spans="1:32" x14ac:dyDescent="0.25">
      <c r="A77" s="5" t="s">
        <v>78</v>
      </c>
      <c r="B77" s="5" t="s">
        <v>255</v>
      </c>
      <c r="C77" s="8">
        <f t="shared" si="15"/>
        <v>6289666.7329940731</v>
      </c>
      <c r="D77" s="8">
        <f t="shared" si="16"/>
        <v>20466011.5297</v>
      </c>
      <c r="E77" s="8">
        <f t="shared" si="17"/>
        <v>1309952.8699999999</v>
      </c>
      <c r="F77" s="8">
        <f t="shared" si="18"/>
        <v>15756840.379999999</v>
      </c>
      <c r="G77" s="8">
        <f t="shared" si="19"/>
        <v>7701384.331068757</v>
      </c>
      <c r="H77" s="8">
        <f t="shared" si="20"/>
        <v>13426718.620443372</v>
      </c>
      <c r="I77" s="8">
        <v>15976850</v>
      </c>
      <c r="J77" s="8">
        <f>SUMIF(Vandværker!$G:$G,'Costdrivere 2025'!$A77&amp;"_1",Vandværker!$E:$E)</f>
        <v>0</v>
      </c>
      <c r="K77" s="8">
        <f>SUMIF(Vandværker!$G:$G,'Costdrivere 2025'!$A77&amp;"_2",Vandværker!$E:$E)</f>
        <v>16338064</v>
      </c>
      <c r="L77" s="8">
        <f>SUMIF(Vandværker!$G:$G,'Costdrivere 2025'!$A77&amp;"_3",Vandværker!$E:$E)</f>
        <v>5161</v>
      </c>
      <c r="M77" s="8">
        <f>SUMIF(Vandværker!$G:$G,'Costdrivere 2025'!$A77&amp;"_4",Vandværker!$E:$E)</f>
        <v>0</v>
      </c>
      <c r="N77" s="8">
        <v>45</v>
      </c>
      <c r="O77" s="8">
        <v>9</v>
      </c>
      <c r="P77" s="8">
        <v>2091</v>
      </c>
      <c r="Q77" s="8">
        <v>1280</v>
      </c>
      <c r="R77" s="8">
        <v>1001</v>
      </c>
      <c r="S77" s="8">
        <v>63</v>
      </c>
      <c r="T77" s="8">
        <v>146</v>
      </c>
      <c r="U77" s="8">
        <v>2991</v>
      </c>
      <c r="V77" s="8">
        <v>71715</v>
      </c>
      <c r="W77" s="8">
        <v>14399356</v>
      </c>
      <c r="X77" s="8">
        <v>14399356</v>
      </c>
      <c r="Y77" s="8">
        <f t="shared" si="12"/>
        <v>16343225</v>
      </c>
      <c r="Z77" s="8">
        <v>204692</v>
      </c>
      <c r="AA77" s="8">
        <v>1646.2919999999999</v>
      </c>
      <c r="AB77" s="8">
        <f t="shared" si="13"/>
        <v>0.12433517261822327</v>
      </c>
      <c r="AC77" s="8">
        <v>17860279.517075494</v>
      </c>
      <c r="AD77" s="8">
        <v>63064007.827693045</v>
      </c>
      <c r="AE77" s="8">
        <v>3037000</v>
      </c>
      <c r="AF77" s="8">
        <f t="shared" si="14"/>
        <v>83961287.344768539</v>
      </c>
    </row>
  </sheetData>
  <customSheetViews>
    <customSheetView guid="{2C63D52F-0547-4395-8CA0-C7353D68F8CD}" scale="80">
      <pane xSplit="2" ySplit="3" topLeftCell="S4" activePane="bottomRight" state="frozen"/>
      <selection pane="bottomRight" activeCell="U11" sqref="U11"/>
      <pageMargins left="0.7" right="0.7" top="0.75" bottom="0.75" header="0.3" footer="0.3"/>
      <pageSetup paperSize="9" orientation="portrait" r:id="rId1"/>
    </customSheetView>
    <customSheetView guid="{53A86AE5-34B9-4AAD-8A1B-514545CD4D41}" scale="80">
      <pane xSplit="2" ySplit="1" topLeftCell="C54" activePane="bottomRight" state="frozen"/>
      <selection pane="bottomRight" activeCell="J71" sqref="J71"/>
      <pageMargins left="0.7" right="0.7" top="0.75" bottom="0.75" header="0.3" footer="0.3"/>
      <pageSetup paperSize="9" orientation="portrait" r:id="rId2"/>
    </customSheetView>
    <customSheetView guid="{23FC3042-4DA9-4083-9758-54D5110D65D9}" scale="80">
      <pane xSplit="2" ySplit="3" topLeftCell="S4" activePane="bottomRight" state="frozen"/>
      <selection pane="bottomRight" activeCell="U11" sqref="U11"/>
      <pageMargins left="0.7" right="0.7" top="0.75" bottom="0.75" header="0.3" footer="0.3"/>
      <pageSetup paperSize="9" orientation="portrait" r:id="rId3"/>
    </customSheetView>
    <customSheetView guid="{5FBF3CB5-95CF-4C0E-8B39-AC62F6F49BEE}" scale="80">
      <pane xSplit="2" ySplit="2" topLeftCell="C54" activePane="bottomRight" state="frozen"/>
      <selection pane="bottomRight" activeCell="J71" sqref="J71"/>
      <pageMargins left="0.7" right="0.7" top="0.75" bottom="0.75" header="0.3" footer="0.3"/>
      <pageSetup paperSize="9" orientation="portrait" r:id="rId4"/>
    </customSheetView>
    <customSheetView guid="{2CE6916A-B758-47AB-980F-69C7A5893278}" scale="80">
      <pane xSplit="2" ySplit="3" topLeftCell="C46" activePane="bottomRight" state="frozen"/>
      <selection pane="bottomRight" activeCell="C81" sqref="C81"/>
      <pageMargins left="0.7" right="0.7" top="0.75" bottom="0.75" header="0.3" footer="0.3"/>
      <pageSetup paperSize="9" orientation="portrait" r:id="rId5"/>
    </customSheetView>
    <customSheetView guid="{8AB850D7-B944-458B-BCC3-5E89642C0267}" scale="80">
      <pane xSplit="2" ySplit="3" topLeftCell="O43" activePane="bottomRight" state="frozen"/>
      <selection pane="bottomRight" activeCell="A72" sqref="A72:XFD72"/>
      <pageMargins left="0.7" right="0.7" top="0.75" bottom="0.75" header="0.3" footer="0.3"/>
      <pageSetup paperSize="9" orientation="portrait" r:id="rId6"/>
    </customSheetView>
    <customSheetView guid="{DF8BFEF0-0BD5-4622-BE69-0A50F4CB3BF9}" scale="80">
      <pane xSplit="2" ySplit="3" topLeftCell="O4" activePane="bottomRight" state="frozen"/>
      <selection pane="bottomRight" activeCell="A12" sqref="A12"/>
      <pageMargins left="0.7" right="0.7" top="0.75" bottom="0.75" header="0.3" footer="0.3"/>
      <pageSetup paperSize="9" orientation="portrait" r:id="rId7"/>
    </customSheetView>
    <customSheetView guid="{567A7DB2-5052-48B6-AF10-DEE353704E6F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8"/>
    </customSheetView>
    <customSheetView guid="{04200D46-0C53-4477-BAC3-AB4074B626AC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9"/>
    </customSheetView>
    <customSheetView guid="{74E4FC22-AA95-4DF3-A713-5EDF3ADB5B44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10"/>
    </customSheetView>
    <customSheetView guid="{23E6A4DE-893A-46F1-B86D-CF441BE94B8E}" scale="80">
      <pane xSplit="2" ySplit="3" topLeftCell="C37" activePane="bottomRight" state="frozen"/>
      <selection pane="bottomRight" activeCell="N60" sqref="N60"/>
      <pageMargins left="0.7" right="0.7" top="0.75" bottom="0.75" header="0.3" footer="0.3"/>
      <pageSetup paperSize="9" orientation="portrait" r:id="rId11"/>
    </customSheetView>
    <customSheetView guid="{829B6B23-535C-44A1-B480-6154D4D7EB30}" scale="80">
      <pane xSplit="2" ySplit="2" topLeftCell="C34" activePane="bottomRight" state="frozen"/>
      <selection pane="bottomRight" activeCell="J71" sqref="J71"/>
      <pageMargins left="0.7" right="0.7" top="0.75" bottom="0.75" header="0.3" footer="0.3"/>
      <pageSetup paperSize="9" orientation="portrait" r:id="rId12"/>
    </customSheetView>
  </customSheetViews>
  <mergeCells count="5">
    <mergeCell ref="AC1:AF1"/>
    <mergeCell ref="J1:M1"/>
    <mergeCell ref="C1:H1"/>
    <mergeCell ref="N1:Q1"/>
    <mergeCell ref="R1:T1"/>
  </mergeCells>
  <pageMargins left="0.7" right="0.7" top="0.75" bottom="0.75" header="0.3" footer="0.3"/>
  <pageSetup paperSize="9" fitToHeight="0" orientation="landscape"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CD_0">
    <pageSetUpPr fitToPage="1"/>
  </sheetPr>
  <dimension ref="A1:AF77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31.28515625" bestFit="1" customWidth="1"/>
    <col min="3" max="3" width="21.5703125" bestFit="1" customWidth="1"/>
    <col min="4" max="4" width="12" bestFit="1" customWidth="1"/>
    <col min="5" max="5" width="19.5703125" bestFit="1" customWidth="1"/>
    <col min="6" max="6" width="17.5703125" bestFit="1" customWidth="1"/>
    <col min="7" max="7" width="9.140625" bestFit="1" customWidth="1"/>
    <col min="8" max="8" width="22.28515625" bestFit="1" customWidth="1"/>
    <col min="9" max="9" width="30.7109375" bestFit="1" customWidth="1"/>
    <col min="10" max="12" width="11.42578125" bestFit="1" customWidth="1"/>
    <col min="13" max="13" width="18.7109375" bestFit="1" customWidth="1"/>
    <col min="14" max="14" width="26.85546875" bestFit="1" customWidth="1"/>
    <col min="15" max="15" width="15.140625" bestFit="1" customWidth="1"/>
    <col min="16" max="16" width="22.7109375" bestFit="1" customWidth="1"/>
    <col min="17" max="17" width="19.5703125" bestFit="1" customWidth="1"/>
    <col min="18" max="18" width="17.28515625" bestFit="1" customWidth="1"/>
    <col min="19" max="19" width="13.42578125" bestFit="1" customWidth="1"/>
    <col min="20" max="20" width="18.5703125" bestFit="1" customWidth="1"/>
    <col min="21" max="21" width="14.28515625" bestFit="1" customWidth="1"/>
    <col min="22" max="22" width="17" bestFit="1" customWidth="1"/>
    <col min="23" max="23" width="28.5703125" bestFit="1" customWidth="1"/>
    <col min="24" max="24" width="11.7109375" bestFit="1" customWidth="1"/>
    <col min="25" max="25" width="13.7109375" bestFit="1" customWidth="1"/>
    <col min="26" max="26" width="8.42578125" bestFit="1" customWidth="1"/>
    <col min="27" max="27" width="18.42578125" bestFit="1" customWidth="1"/>
    <col min="28" max="28" width="19.5703125" bestFit="1" customWidth="1"/>
    <col min="29" max="29" width="22.7109375" bestFit="1" customWidth="1"/>
    <col min="30" max="30" width="11.85546875" bestFit="1" customWidth="1"/>
    <col min="31" max="31" width="9.140625" bestFit="1" customWidth="1"/>
    <col min="32" max="32" width="11.140625" bestFit="1" customWidth="1"/>
  </cols>
  <sheetData>
    <row r="1" spans="1:32" x14ac:dyDescent="0.25">
      <c r="A1" s="9"/>
      <c r="B1" s="9"/>
      <c r="C1" s="12" t="s">
        <v>79</v>
      </c>
      <c r="D1" s="12"/>
      <c r="E1" s="12"/>
      <c r="F1" s="12"/>
      <c r="G1" s="12"/>
      <c r="H1" s="12"/>
      <c r="I1" s="9" t="s">
        <v>86</v>
      </c>
      <c r="J1" s="12" t="s">
        <v>81</v>
      </c>
      <c r="K1" s="12"/>
      <c r="L1" s="12"/>
      <c r="M1" s="12"/>
      <c r="N1" s="12" t="s">
        <v>82</v>
      </c>
      <c r="O1" s="12"/>
      <c r="P1" s="12"/>
      <c r="Q1" s="12"/>
      <c r="R1" s="12" t="s">
        <v>94</v>
      </c>
      <c r="S1" s="12"/>
      <c r="T1" s="12"/>
      <c r="U1" s="9" t="s">
        <v>84</v>
      </c>
      <c r="V1" s="9" t="s">
        <v>99</v>
      </c>
      <c r="W1" s="9" t="s">
        <v>102</v>
      </c>
      <c r="X1" s="9" t="s">
        <v>682</v>
      </c>
      <c r="Y1" s="9" t="s">
        <v>703</v>
      </c>
      <c r="Z1" s="9" t="s">
        <v>125</v>
      </c>
      <c r="AA1" s="9" t="s">
        <v>126</v>
      </c>
      <c r="AB1" s="9" t="s">
        <v>123</v>
      </c>
      <c r="AC1" s="12" t="s">
        <v>124</v>
      </c>
      <c r="AD1" s="12"/>
      <c r="AE1" s="12"/>
      <c r="AF1" s="12"/>
    </row>
    <row r="2" spans="1:32" ht="15.75" thickBot="1" x14ac:dyDescent="0.3">
      <c r="A2" s="2" t="s">
        <v>104</v>
      </c>
      <c r="B2" s="2" t="s">
        <v>0</v>
      </c>
      <c r="C2" s="2" t="s">
        <v>80</v>
      </c>
      <c r="D2" s="2" t="s">
        <v>81</v>
      </c>
      <c r="E2" s="2" t="s">
        <v>82</v>
      </c>
      <c r="F2" s="2" t="s">
        <v>83</v>
      </c>
      <c r="G2" s="2" t="s">
        <v>85</v>
      </c>
      <c r="H2" s="2" t="s">
        <v>101</v>
      </c>
      <c r="I2" s="2" t="s">
        <v>726</v>
      </c>
      <c r="J2" s="2" t="s">
        <v>87</v>
      </c>
      <c r="K2" s="2" t="s">
        <v>88</v>
      </c>
      <c r="L2" s="2" t="s">
        <v>89</v>
      </c>
      <c r="M2" s="2" t="s">
        <v>90</v>
      </c>
      <c r="N2" s="2" t="s">
        <v>91</v>
      </c>
      <c r="O2" s="2" t="s">
        <v>92</v>
      </c>
      <c r="P2" s="2" t="s">
        <v>103</v>
      </c>
      <c r="Q2" s="2" t="s">
        <v>93</v>
      </c>
      <c r="R2" s="2" t="s">
        <v>95</v>
      </c>
      <c r="S2" s="2" t="s">
        <v>96</v>
      </c>
      <c r="T2" s="2" t="s">
        <v>97</v>
      </c>
      <c r="U2" s="2" t="s">
        <v>98</v>
      </c>
      <c r="V2" s="2" t="s">
        <v>100</v>
      </c>
      <c r="W2" s="2" t="s">
        <v>107</v>
      </c>
      <c r="X2" s="2" t="s">
        <v>683</v>
      </c>
      <c r="Y2" s="2" t="s">
        <v>704</v>
      </c>
      <c r="Z2" s="2" t="s">
        <v>108</v>
      </c>
      <c r="AA2" s="2" t="s">
        <v>260</v>
      </c>
      <c r="AB2" s="2" t="s">
        <v>109</v>
      </c>
      <c r="AC2" s="2" t="s">
        <v>110</v>
      </c>
      <c r="AD2" s="2" t="s">
        <v>112</v>
      </c>
      <c r="AE2" s="2" t="s">
        <v>111</v>
      </c>
      <c r="AF2" s="2" t="s">
        <v>115</v>
      </c>
    </row>
    <row r="3" spans="1:32" x14ac:dyDescent="0.25">
      <c r="A3" s="5" t="s">
        <v>1</v>
      </c>
      <c r="B3" s="5" t="s">
        <v>210</v>
      </c>
      <c r="C3" s="8">
        <f>1.6917 * (I3 ^ 0.9121)</f>
        <v>699711.14420936501</v>
      </c>
      <c r="D3" s="8">
        <f>IF(SUM(J3:M3)=0,0,285172.4638+1.2346*(J3+K3)+1.9115*L3+1.4292*M3)</f>
        <v>2076937.5669999998</v>
      </c>
      <c r="E3" s="8">
        <f>IF(SUM(N3:Q3)=0,0,72371.35+15076.4*(N3+O3)+162.32*P3+65.66*Q3)</f>
        <v>539225.99</v>
      </c>
      <c r="F3" s="8">
        <f>IF(SUM(R3:U3)=0,0,7395.11*R3+36417.47*(S3+T3)+248.44*U3)</f>
        <v>1944928.0941000001</v>
      </c>
      <c r="G3" s="8">
        <f>IF(V3=0,0,309.935*V3^0.9052)</f>
        <v>1050480.8538732291</v>
      </c>
      <c r="H3" s="8">
        <f>1.1738*4.2676*W3^0.898</f>
        <v>1433117.3083403548</v>
      </c>
      <c r="I3" s="8">
        <v>1438376</v>
      </c>
      <c r="J3" s="8">
        <f>SUMIF(Vandværker!$G:$G,'Costdrivere 2025'!$A3&amp;"_1",Vandværker!$F:$F)</f>
        <v>0</v>
      </c>
      <c r="K3" s="8">
        <f>SUMIF(Vandværker!$G:$G,'Costdrivere 2025'!$A3&amp;"_2",Vandværker!$F:$F)</f>
        <v>1451292</v>
      </c>
      <c r="L3" s="8">
        <f>SUMIF(Vandværker!$G:$G,'Costdrivere 2025'!$A3&amp;"_3",Vandværker!$F:$F)</f>
        <v>0</v>
      </c>
      <c r="M3" s="8">
        <f>SUMIF(Vandværker!$G:$G,'Costdrivere 2025'!$A3&amp;"_4",Vandværker!$F:$F)</f>
        <v>0</v>
      </c>
      <c r="N3" s="8">
        <v>15</v>
      </c>
      <c r="O3" s="8">
        <v>9</v>
      </c>
      <c r="P3" s="8">
        <v>647</v>
      </c>
      <c r="Q3" s="8"/>
      <c r="R3" s="8">
        <v>147.38</v>
      </c>
      <c r="S3" s="8">
        <v>11.09</v>
      </c>
      <c r="T3" s="8"/>
      <c r="U3" s="8">
        <v>1816</v>
      </c>
      <c r="V3" s="8">
        <v>7940</v>
      </c>
      <c r="W3" s="8">
        <v>1192024</v>
      </c>
      <c r="X3" s="8">
        <v>1343187</v>
      </c>
      <c r="Y3" s="8">
        <f t="shared" ref="Y3:Y34" si="0">SUM(J3:M3)</f>
        <v>1451292</v>
      </c>
      <c r="Z3" s="8">
        <v>7410</v>
      </c>
      <c r="AA3" s="8">
        <v>265.79241499225577</v>
      </c>
      <c r="AB3" s="8">
        <f t="shared" ref="AB3:AB34" si="1">IF(AA3&gt;0,Z3/AA3/1000,0)</f>
        <v>2.7878899404318595E-2</v>
      </c>
      <c r="AC3" s="8">
        <v>1901474.8921625821</v>
      </c>
      <c r="AD3" s="8">
        <v>6729761.1252034558</v>
      </c>
      <c r="AE3" s="8">
        <v>235000</v>
      </c>
      <c r="AF3" s="8">
        <f t="shared" ref="AF3:AF34" si="2">SUM(AC3:AE3)</f>
        <v>8866236.0173660386</v>
      </c>
    </row>
    <row r="4" spans="1:32" x14ac:dyDescent="0.25">
      <c r="A4" s="5" t="s">
        <v>2</v>
      </c>
      <c r="B4" s="5" t="s">
        <v>429</v>
      </c>
      <c r="C4" s="8">
        <f t="shared" ref="C4:C67" si="3">1.6917 * (I4 ^ 0.9121)</f>
        <v>577963.48055801715</v>
      </c>
      <c r="D4" s="8">
        <f t="shared" ref="D4:D67" si="4">IF(SUM(J4:M4)=0,0,285172.4638+1.2346*(J4+K4)+1.9115*L4+1.4292*M4)</f>
        <v>2475529.7297999999</v>
      </c>
      <c r="E4" s="8">
        <f t="shared" ref="E4:E67" si="5">IF(SUM(N4:Q4)=0,0,72371.35+15076.4*(N4+O4)+162.32*P4+65.66*Q4)</f>
        <v>147753.35</v>
      </c>
      <c r="F4" s="8">
        <f t="shared" ref="F4:F67" si="6">IF(SUM(R4:U4)=0,0,7395.11*R4+36417.47*(S4+T4)+248.44*U4)</f>
        <v>956740.92499999993</v>
      </c>
      <c r="G4" s="8">
        <f t="shared" ref="G4:G67" si="7">IF(V4=0,0,309.935*V4^0.9052)</f>
        <v>832009.92182033428</v>
      </c>
      <c r="H4" s="8">
        <f t="shared" ref="H4:H67" si="8">1.1738*4.2676*W4^0.898</f>
        <v>1335468.1212054845</v>
      </c>
      <c r="I4" s="8">
        <v>1166416</v>
      </c>
      <c r="J4" s="8">
        <f>SUMIF(Vandværker!$G:$G,'Costdrivere 2025'!$A4&amp;"_1",Vandværker!$F:$F)</f>
        <v>0</v>
      </c>
      <c r="K4" s="8">
        <f>SUMIF(Vandværker!$G:$G,'Costdrivere 2025'!$A4&amp;"_2",Vandværker!$F:$F)</f>
        <v>0</v>
      </c>
      <c r="L4" s="8">
        <f>SUMIF(Vandværker!$G:$G,'Costdrivere 2025'!$A4&amp;"_3",Vandværker!$F:$F)</f>
        <v>1145884</v>
      </c>
      <c r="M4" s="8">
        <f>SUMIF(Vandværker!$G:$G,'Costdrivere 2025'!$A4&amp;"_4",Vandværker!$F:$F)</f>
        <v>0</v>
      </c>
      <c r="N4" s="8">
        <v>1</v>
      </c>
      <c r="O4" s="8">
        <v>4</v>
      </c>
      <c r="P4" s="8"/>
      <c r="Q4" s="8"/>
      <c r="R4" s="8">
        <v>115.5</v>
      </c>
      <c r="S4" s="8"/>
      <c r="T4" s="8"/>
      <c r="U4" s="8">
        <v>413</v>
      </c>
      <c r="V4" s="8">
        <v>6137</v>
      </c>
      <c r="W4" s="8">
        <v>1101934</v>
      </c>
      <c r="X4" s="8">
        <v>1101934</v>
      </c>
      <c r="Y4" s="8">
        <f t="shared" si="0"/>
        <v>1145884</v>
      </c>
      <c r="Z4" s="8">
        <v>10655</v>
      </c>
      <c r="AA4" s="8">
        <v>141.00639999999999</v>
      </c>
      <c r="AB4" s="8">
        <f t="shared" si="1"/>
        <v>7.556394603365521E-2</v>
      </c>
      <c r="AC4" s="8">
        <v>1376204.2515601413</v>
      </c>
      <c r="AD4" s="8">
        <v>4668221.061550579</v>
      </c>
      <c r="AE4" s="8">
        <v>405284.80808314087</v>
      </c>
      <c r="AF4" s="8">
        <f t="shared" si="2"/>
        <v>6449710.1211938616</v>
      </c>
    </row>
    <row r="5" spans="1:32" x14ac:dyDescent="0.25">
      <c r="A5" s="5" t="s">
        <v>3</v>
      </c>
      <c r="B5" s="5" t="s">
        <v>432</v>
      </c>
      <c r="C5" s="8">
        <f t="shared" si="3"/>
        <v>736940.73461229308</v>
      </c>
      <c r="D5" s="8">
        <f t="shared" si="4"/>
        <v>1968721.1731999998</v>
      </c>
      <c r="E5" s="8">
        <f t="shared" si="5"/>
        <v>509586.94999999995</v>
      </c>
      <c r="F5" s="8">
        <f t="shared" si="6"/>
        <v>2004607.638</v>
      </c>
      <c r="G5" s="8">
        <f t="shared" si="7"/>
        <v>1484806.7281331562</v>
      </c>
      <c r="H5" s="8">
        <f t="shared" si="8"/>
        <v>1494126.8925720581</v>
      </c>
      <c r="I5" s="8">
        <v>1522495</v>
      </c>
      <c r="J5" s="8">
        <f>SUMIF(Vandværker!$G:$G,'Costdrivere 2025'!$A5&amp;"_1",Vandværker!$F:$F)</f>
        <v>0</v>
      </c>
      <c r="K5" s="8">
        <f>SUMIF(Vandværker!$G:$G,'Costdrivere 2025'!$A5&amp;"_2",Vandværker!$F:$F)</f>
        <v>1363639</v>
      </c>
      <c r="L5" s="8">
        <f>SUMIF(Vandværker!$G:$G,'Costdrivere 2025'!$A5&amp;"_3",Vandværker!$F:$F)</f>
        <v>0</v>
      </c>
      <c r="M5" s="8">
        <f>SUMIF(Vandværker!$G:$G,'Costdrivere 2025'!$A5&amp;"_4",Vandværker!$F:$F)</f>
        <v>0</v>
      </c>
      <c r="N5" s="8">
        <v>17</v>
      </c>
      <c r="O5" s="8">
        <v>12</v>
      </c>
      <c r="P5" s="8"/>
      <c r="Q5" s="8"/>
      <c r="R5" s="8">
        <v>137.80000000000001</v>
      </c>
      <c r="S5" s="8"/>
      <c r="T5" s="8"/>
      <c r="U5" s="8">
        <v>3967</v>
      </c>
      <c r="V5" s="8">
        <v>11637</v>
      </c>
      <c r="W5" s="8">
        <v>1248668.8999999999</v>
      </c>
      <c r="X5" s="8">
        <v>1240158</v>
      </c>
      <c r="Y5" s="8">
        <f t="shared" si="0"/>
        <v>1363639</v>
      </c>
      <c r="Z5" s="8">
        <v>16504</v>
      </c>
      <c r="AA5" s="8">
        <v>642.41399999999999</v>
      </c>
      <c r="AB5" s="8">
        <f t="shared" si="1"/>
        <v>2.5690598274632871E-2</v>
      </c>
      <c r="AC5" s="8">
        <v>3197746.7897600536</v>
      </c>
      <c r="AD5" s="8">
        <v>13968682.397789996</v>
      </c>
      <c r="AE5" s="8">
        <v>456959.15384615381</v>
      </c>
      <c r="AF5" s="8">
        <f t="shared" si="2"/>
        <v>17623388.341396201</v>
      </c>
    </row>
    <row r="6" spans="1:32" x14ac:dyDescent="0.25">
      <c r="A6" s="5" t="s">
        <v>114</v>
      </c>
      <c r="B6" s="5" t="s">
        <v>211</v>
      </c>
      <c r="C6" s="8">
        <f t="shared" si="3"/>
        <v>523828.31933067046</v>
      </c>
      <c r="D6" s="8">
        <f t="shared" si="4"/>
        <v>1518279.8324</v>
      </c>
      <c r="E6" s="8">
        <f t="shared" si="5"/>
        <v>132676.95000000001</v>
      </c>
      <c r="F6" s="8">
        <f t="shared" si="6"/>
        <v>1015830.75</v>
      </c>
      <c r="G6" s="8">
        <f t="shared" si="7"/>
        <v>452965.21117397334</v>
      </c>
      <c r="H6" s="8">
        <f t="shared" si="8"/>
        <v>1184830.2819939237</v>
      </c>
      <c r="I6" s="8">
        <v>1047191</v>
      </c>
      <c r="J6" s="8">
        <f>SUMIF(Vandværker!$G:$G,'Costdrivere 2025'!$A6&amp;"_1",Vandværker!$F:$F)</f>
        <v>0</v>
      </c>
      <c r="K6" s="8">
        <f>SUMIF(Vandværker!$G:$G,'Costdrivere 2025'!$A6&amp;"_2",Vandværker!$F:$F)</f>
        <v>998791</v>
      </c>
      <c r="L6" s="8">
        <f>SUMIF(Vandværker!$G:$G,'Costdrivere 2025'!$A6&amp;"_3",Vandværker!$F:$F)</f>
        <v>0</v>
      </c>
      <c r="M6" s="8">
        <f>SUMIF(Vandværker!$G:$G,'Costdrivere 2025'!$A6&amp;"_4",Vandværker!$F:$F)</f>
        <v>0</v>
      </c>
      <c r="N6" s="8"/>
      <c r="O6" s="8">
        <v>4</v>
      </c>
      <c r="P6" s="8"/>
      <c r="Q6" s="8"/>
      <c r="R6" s="8">
        <v>129</v>
      </c>
      <c r="S6" s="8"/>
      <c r="T6" s="8"/>
      <c r="U6" s="8">
        <v>249</v>
      </c>
      <c r="V6" s="8">
        <v>3135</v>
      </c>
      <c r="W6" s="8">
        <v>964438</v>
      </c>
      <c r="X6" s="8">
        <v>964982</v>
      </c>
      <c r="Y6" s="8">
        <f t="shared" si="0"/>
        <v>998791</v>
      </c>
      <c r="Z6" s="8">
        <v>4105</v>
      </c>
      <c r="AA6" s="8">
        <v>218.24299999999999</v>
      </c>
      <c r="AB6" s="8">
        <f t="shared" si="1"/>
        <v>1.8809308889632198E-2</v>
      </c>
      <c r="AC6" s="8">
        <v>1192137.1202665879</v>
      </c>
      <c r="AD6" s="8">
        <v>3840862.4887999999</v>
      </c>
      <c r="AE6" s="8">
        <v>154000</v>
      </c>
      <c r="AF6" s="8">
        <f t="shared" si="2"/>
        <v>5186999.6090665879</v>
      </c>
    </row>
    <row r="7" spans="1:32" x14ac:dyDescent="0.25">
      <c r="A7" s="5" t="s">
        <v>4</v>
      </c>
      <c r="B7" s="5" t="s">
        <v>584</v>
      </c>
      <c r="C7" s="8">
        <f t="shared" si="3"/>
        <v>470520.01299673418</v>
      </c>
      <c r="D7" s="8">
        <f t="shared" si="4"/>
        <v>1398040.9038</v>
      </c>
      <c r="E7" s="8">
        <f t="shared" si="5"/>
        <v>240522.95</v>
      </c>
      <c r="F7" s="8">
        <f t="shared" si="6"/>
        <v>2296986.1800000002</v>
      </c>
      <c r="G7" s="8">
        <f t="shared" si="7"/>
        <v>920989.97194666474</v>
      </c>
      <c r="H7" s="8">
        <f t="shared" si="8"/>
        <v>1084041.0912124508</v>
      </c>
      <c r="I7" s="8">
        <v>930943</v>
      </c>
      <c r="J7" s="8">
        <f>SUMIF(Vandværker!$G:$G,'Costdrivere 2025'!$A7&amp;"_1",Vandværker!$F:$F)</f>
        <v>0</v>
      </c>
      <c r="K7" s="8">
        <f>SUMIF(Vandværker!$G:$G,'Costdrivere 2025'!$A7&amp;"_2",Vandværker!$F:$F)</f>
        <v>901400</v>
      </c>
      <c r="L7" s="8">
        <f>SUMIF(Vandværker!$G:$G,'Costdrivere 2025'!$A7&amp;"_3",Vandværker!$F:$F)</f>
        <v>0</v>
      </c>
      <c r="M7" s="8">
        <f>SUMIF(Vandværker!$G:$G,'Costdrivere 2025'!$A7&amp;"_4",Vandværker!$F:$F)</f>
        <v>0</v>
      </c>
      <c r="N7" s="8"/>
      <c r="O7" s="8">
        <v>9</v>
      </c>
      <c r="P7" s="8">
        <v>200</v>
      </c>
      <c r="Q7" s="8"/>
      <c r="R7" s="8">
        <v>88</v>
      </c>
      <c r="S7" s="8">
        <v>38</v>
      </c>
      <c r="T7" s="8"/>
      <c r="U7" s="8">
        <v>1056</v>
      </c>
      <c r="V7" s="8">
        <v>6866</v>
      </c>
      <c r="W7" s="8">
        <v>873531</v>
      </c>
      <c r="X7" s="8">
        <v>873531</v>
      </c>
      <c r="Y7" s="8">
        <f t="shared" si="0"/>
        <v>901400</v>
      </c>
      <c r="Z7" s="8">
        <v>6783</v>
      </c>
      <c r="AA7" s="8">
        <v>366.39499999999998</v>
      </c>
      <c r="AB7" s="8">
        <f t="shared" si="1"/>
        <v>1.8512807216255679E-2</v>
      </c>
      <c r="AC7" s="8">
        <v>1741292.3858363368</v>
      </c>
      <c r="AD7" s="8">
        <v>8106828.1843166668</v>
      </c>
      <c r="AE7" s="8">
        <v>652000</v>
      </c>
      <c r="AF7" s="8">
        <f t="shared" si="2"/>
        <v>10500120.570153004</v>
      </c>
    </row>
    <row r="8" spans="1:32" x14ac:dyDescent="0.25">
      <c r="A8" s="5" t="s">
        <v>5</v>
      </c>
      <c r="B8" s="5" t="s">
        <v>586</v>
      </c>
      <c r="C8" s="8">
        <f t="shared" si="3"/>
        <v>1211838.4268741298</v>
      </c>
      <c r="D8" s="8">
        <f t="shared" si="4"/>
        <v>5305818.9658000004</v>
      </c>
      <c r="E8" s="8">
        <f t="shared" si="5"/>
        <v>784084.75</v>
      </c>
      <c r="F8" s="8">
        <f t="shared" si="6"/>
        <v>4429783.01</v>
      </c>
      <c r="G8" s="8">
        <f t="shared" si="7"/>
        <v>2268384.0074753915</v>
      </c>
      <c r="H8" s="8">
        <f t="shared" si="8"/>
        <v>2747449.9796077493</v>
      </c>
      <c r="I8" s="8">
        <v>2626548</v>
      </c>
      <c r="J8" s="8">
        <f>SUMIF(Vandværker!$G:$G,'Costdrivere 2025'!$A8&amp;"_1",Vandværker!$F:$F)</f>
        <v>0</v>
      </c>
      <c r="K8" s="8">
        <f>SUMIF(Vandværker!$G:$G,'Costdrivere 2025'!$A8&amp;"_2",Vandværker!$F:$F)</f>
        <v>0</v>
      </c>
      <c r="L8" s="8">
        <f>SUMIF(Vandværker!$G:$G,'Costdrivere 2025'!$A8&amp;"_3",Vandværker!$F:$F)</f>
        <v>2626548</v>
      </c>
      <c r="M8" s="8">
        <f>SUMIF(Vandværker!$G:$G,'Costdrivere 2025'!$A8&amp;"_4",Vandværker!$F:$F)</f>
        <v>0</v>
      </c>
      <c r="N8" s="8">
        <v>8</v>
      </c>
      <c r="O8" s="8">
        <v>22</v>
      </c>
      <c r="P8" s="8">
        <v>1400</v>
      </c>
      <c r="Q8" s="8">
        <v>490</v>
      </c>
      <c r="R8" s="8">
        <v>304</v>
      </c>
      <c r="S8" s="8">
        <v>47</v>
      </c>
      <c r="T8" s="8"/>
      <c r="U8" s="8">
        <v>1892</v>
      </c>
      <c r="V8" s="8">
        <v>18585</v>
      </c>
      <c r="W8" s="8">
        <v>2460582</v>
      </c>
      <c r="X8" s="8">
        <v>2460581</v>
      </c>
      <c r="Y8" s="8">
        <f t="shared" si="0"/>
        <v>2626548</v>
      </c>
      <c r="Z8" s="8">
        <v>32976</v>
      </c>
      <c r="AA8" s="8">
        <v>630.45699999999999</v>
      </c>
      <c r="AB8" s="8">
        <f t="shared" si="1"/>
        <v>5.2304915323328947E-2</v>
      </c>
      <c r="AC8" s="8">
        <v>4466737.1758403359</v>
      </c>
      <c r="AD8" s="8">
        <v>15498158.460816663</v>
      </c>
      <c r="AE8" s="8">
        <v>398000</v>
      </c>
      <c r="AF8" s="8">
        <f t="shared" si="2"/>
        <v>20362895.636657</v>
      </c>
    </row>
    <row r="9" spans="1:32" x14ac:dyDescent="0.25">
      <c r="A9" s="5" t="s">
        <v>7</v>
      </c>
      <c r="B9" s="5" t="s">
        <v>438</v>
      </c>
      <c r="C9" s="8">
        <f t="shared" si="3"/>
        <v>3545664.6350461873</v>
      </c>
      <c r="D9" s="8">
        <f t="shared" si="4"/>
        <v>11444074.793299999</v>
      </c>
      <c r="E9" s="8">
        <f t="shared" si="5"/>
        <v>420286.23</v>
      </c>
      <c r="F9" s="8">
        <f t="shared" si="6"/>
        <v>8266443.6700000009</v>
      </c>
      <c r="G9" s="8">
        <f t="shared" si="7"/>
        <v>4481187.1332789985</v>
      </c>
      <c r="H9" s="8">
        <f t="shared" si="8"/>
        <v>7938285.8750797445</v>
      </c>
      <c r="I9" s="8">
        <v>8522589</v>
      </c>
      <c r="J9" s="8">
        <f>SUMIF(Vandværker!$G:$G,'Costdrivere 2025'!$A9&amp;"_1",Vandværker!$F:$F)</f>
        <v>3890</v>
      </c>
      <c r="K9" s="8">
        <f>SUMIF(Vandværker!$G:$G,'Costdrivere 2025'!$A9&amp;"_2",Vandværker!$F:$F)</f>
        <v>5817119</v>
      </c>
      <c r="L9" s="8">
        <f>SUMIF(Vandværker!$G:$G,'Costdrivere 2025'!$A9&amp;"_3",Vandværker!$F:$F)</f>
        <v>1188975</v>
      </c>
      <c r="M9" s="8">
        <f>SUMIF(Vandværker!$G:$G,'Costdrivere 2025'!$A9&amp;"_4",Vandværker!$F:$F)</f>
        <v>1189168</v>
      </c>
      <c r="N9" s="8">
        <v>2</v>
      </c>
      <c r="O9" s="8">
        <v>12</v>
      </c>
      <c r="P9" s="8">
        <v>479</v>
      </c>
      <c r="Q9" s="8">
        <v>900</v>
      </c>
      <c r="R9" s="8">
        <v>695</v>
      </c>
      <c r="S9" s="8">
        <v>58</v>
      </c>
      <c r="T9" s="8"/>
      <c r="U9" s="8">
        <v>4084</v>
      </c>
      <c r="V9" s="8">
        <v>39428</v>
      </c>
      <c r="W9" s="8">
        <v>8020007</v>
      </c>
      <c r="X9" s="8">
        <v>8020007</v>
      </c>
      <c r="Y9" s="8">
        <f t="shared" si="0"/>
        <v>8199152</v>
      </c>
      <c r="Z9" s="8">
        <v>77957</v>
      </c>
      <c r="AA9" s="8">
        <v>1520.3606051915349</v>
      </c>
      <c r="AB9" s="8">
        <f t="shared" si="1"/>
        <v>5.1275335426215533E-2</v>
      </c>
      <c r="AC9" s="8">
        <v>18625236.675809126</v>
      </c>
      <c r="AD9" s="8">
        <v>40370344.127859138</v>
      </c>
      <c r="AE9" s="8">
        <v>2676610.0413879883</v>
      </c>
      <c r="AF9" s="8">
        <f t="shared" si="2"/>
        <v>61672190.845056251</v>
      </c>
    </row>
    <row r="10" spans="1:32" x14ac:dyDescent="0.25">
      <c r="A10" s="5" t="s">
        <v>8</v>
      </c>
      <c r="B10" s="5" t="s">
        <v>226</v>
      </c>
      <c r="C10" s="8">
        <f t="shared" si="3"/>
        <v>944218.0578694928</v>
      </c>
      <c r="D10" s="8">
        <f t="shared" si="4"/>
        <v>2695589.4539999999</v>
      </c>
      <c r="E10" s="8">
        <f t="shared" si="5"/>
        <v>184155.45</v>
      </c>
      <c r="F10" s="8">
        <f t="shared" si="6"/>
        <v>1364257.4369999999</v>
      </c>
      <c r="G10" s="8">
        <f t="shared" si="7"/>
        <v>905555.82734446146</v>
      </c>
      <c r="H10" s="8">
        <f t="shared" si="8"/>
        <v>2102646.663122701</v>
      </c>
      <c r="I10" s="8">
        <v>1997878</v>
      </c>
      <c r="J10" s="8">
        <f>SUMIF(Vandværker!$G:$G,'Costdrivere 2025'!$A10&amp;"_1",Vandværker!$F:$F)</f>
        <v>0</v>
      </c>
      <c r="K10" s="8">
        <f>SUMIF(Vandværker!$G:$G,'Costdrivere 2025'!$A10&amp;"_2",Vandværker!$F:$F)</f>
        <v>1952387</v>
      </c>
      <c r="L10" s="8">
        <f>SUMIF(Vandværker!$G:$G,'Costdrivere 2025'!$A10&amp;"_3",Vandværker!$F:$F)</f>
        <v>0</v>
      </c>
      <c r="M10" s="8">
        <f>SUMIF(Vandværker!$G:$G,'Costdrivere 2025'!$A10&amp;"_4",Vandværker!$F:$F)</f>
        <v>0</v>
      </c>
      <c r="N10" s="8"/>
      <c r="O10" s="8">
        <v>4</v>
      </c>
      <c r="P10" s="8">
        <v>125</v>
      </c>
      <c r="Q10" s="8">
        <v>475</v>
      </c>
      <c r="R10" s="8">
        <v>121.5</v>
      </c>
      <c r="S10" s="8">
        <v>3.6</v>
      </c>
      <c r="T10" s="8"/>
      <c r="U10" s="8">
        <v>1347</v>
      </c>
      <c r="V10" s="8">
        <v>6739</v>
      </c>
      <c r="W10" s="8">
        <v>1826753</v>
      </c>
      <c r="X10" s="8">
        <v>1826753</v>
      </c>
      <c r="Y10" s="8">
        <f t="shared" si="0"/>
        <v>1952387</v>
      </c>
      <c r="Z10" s="8">
        <v>11884</v>
      </c>
      <c r="AA10" s="8">
        <v>306.65816866046407</v>
      </c>
      <c r="AB10" s="8">
        <f t="shared" si="1"/>
        <v>3.875324780002231E-2</v>
      </c>
      <c r="AC10" s="8">
        <v>1677500.3225496525</v>
      </c>
      <c r="AD10" s="8">
        <v>6428355.7003405131</v>
      </c>
      <c r="AE10" s="8">
        <v>171295</v>
      </c>
      <c r="AF10" s="8">
        <f t="shared" si="2"/>
        <v>8277151.0228901654</v>
      </c>
    </row>
    <row r="11" spans="1:32" x14ac:dyDescent="0.25">
      <c r="A11" s="5" t="s">
        <v>9</v>
      </c>
      <c r="B11" s="5" t="s">
        <v>222</v>
      </c>
      <c r="C11" s="8">
        <f t="shared" si="3"/>
        <v>1377286.5493827602</v>
      </c>
      <c r="D11" s="8">
        <f t="shared" si="4"/>
        <v>3926221.1377999997</v>
      </c>
      <c r="E11" s="8">
        <f t="shared" si="5"/>
        <v>222200.15</v>
      </c>
      <c r="F11" s="8">
        <f t="shared" si="6"/>
        <v>3068287.1</v>
      </c>
      <c r="G11" s="8">
        <f t="shared" si="7"/>
        <v>2003532.5734386165</v>
      </c>
      <c r="H11" s="8">
        <f t="shared" si="8"/>
        <v>3023641.9785725879</v>
      </c>
      <c r="I11" s="8">
        <v>3022186</v>
      </c>
      <c r="J11" s="8">
        <f>SUMIF(Vandværker!$G:$G,'Costdrivere 2025'!$A11&amp;"_1",Vandværker!$F:$F)</f>
        <v>0</v>
      </c>
      <c r="K11" s="8">
        <f>SUMIF(Vandværker!$G:$G,'Costdrivere 2025'!$A11&amp;"_2",Vandværker!$F:$F)</f>
        <v>2933690</v>
      </c>
      <c r="L11" s="8">
        <f>SUMIF(Vandværker!$G:$G,'Costdrivere 2025'!$A11&amp;"_3",Vandværker!$F:$F)</f>
        <v>10000</v>
      </c>
      <c r="M11" s="8">
        <f>SUMIF(Vandværker!$G:$G,'Costdrivere 2025'!$A11&amp;"_4",Vandværker!$F:$F)</f>
        <v>0</v>
      </c>
      <c r="N11" s="8">
        <v>3</v>
      </c>
      <c r="O11" s="8">
        <v>5</v>
      </c>
      <c r="P11" s="8">
        <v>180</v>
      </c>
      <c r="Q11" s="8"/>
      <c r="R11" s="8">
        <v>217</v>
      </c>
      <c r="S11" s="8">
        <v>29</v>
      </c>
      <c r="T11" s="8"/>
      <c r="U11" s="8">
        <v>1640</v>
      </c>
      <c r="V11" s="8">
        <v>16203</v>
      </c>
      <c r="W11" s="8">
        <v>2737560</v>
      </c>
      <c r="X11" s="8">
        <v>2737560</v>
      </c>
      <c r="Y11" s="8">
        <f t="shared" si="0"/>
        <v>2943690</v>
      </c>
      <c r="Z11" s="8">
        <v>36123</v>
      </c>
      <c r="AA11" s="8">
        <v>367.21609000000007</v>
      </c>
      <c r="AB11" s="8">
        <f t="shared" si="1"/>
        <v>9.836987262731324E-2</v>
      </c>
      <c r="AC11" s="8">
        <v>5367547.1939281477</v>
      </c>
      <c r="AD11" s="8">
        <v>14084531.681789957</v>
      </c>
      <c r="AE11" s="8">
        <v>1938734</v>
      </c>
      <c r="AF11" s="8">
        <f t="shared" si="2"/>
        <v>21390812.875718106</v>
      </c>
    </row>
    <row r="12" spans="1:32" x14ac:dyDescent="0.25">
      <c r="A12" s="5" t="s">
        <v>10</v>
      </c>
      <c r="B12" s="5" t="s">
        <v>227</v>
      </c>
      <c r="C12" s="8">
        <f t="shared" si="3"/>
        <v>599871.90997542767</v>
      </c>
      <c r="D12" s="8">
        <f t="shared" si="4"/>
        <v>1724906.1921999999</v>
      </c>
      <c r="E12" s="8">
        <f t="shared" si="5"/>
        <v>202254.15000000002</v>
      </c>
      <c r="F12" s="8">
        <f t="shared" si="6"/>
        <v>1681812.7200999998</v>
      </c>
      <c r="G12" s="8">
        <f t="shared" si="7"/>
        <v>1464348.8093330932</v>
      </c>
      <c r="H12" s="8">
        <f t="shared" si="8"/>
        <v>2122791.9894428621</v>
      </c>
      <c r="I12" s="8">
        <v>1214979</v>
      </c>
      <c r="J12" s="8">
        <f>SUMIF(Vandværker!$G:$G,'Costdrivere 2025'!$A12&amp;"_1",Vandværker!$F:$F)</f>
        <v>0</v>
      </c>
      <c r="K12" s="8">
        <f>SUMIF(Vandværker!$G:$G,'Costdrivere 2025'!$A12&amp;"_2",Vandværker!$F:$F)</f>
        <v>1166154</v>
      </c>
      <c r="L12" s="8">
        <f>SUMIF(Vandværker!$G:$G,'Costdrivere 2025'!$A12&amp;"_3",Vandværker!$F:$F)</f>
        <v>0</v>
      </c>
      <c r="M12" s="8">
        <f>SUMIF(Vandværker!$G:$G,'Costdrivere 2025'!$A12&amp;"_4",Vandværker!$F:$F)</f>
        <v>0</v>
      </c>
      <c r="N12" s="8">
        <v>4</v>
      </c>
      <c r="O12" s="8">
        <v>3</v>
      </c>
      <c r="P12" s="8">
        <v>150</v>
      </c>
      <c r="Q12" s="8"/>
      <c r="R12" s="8">
        <v>195.91</v>
      </c>
      <c r="S12" s="8"/>
      <c r="T12" s="8"/>
      <c r="U12" s="8">
        <v>938</v>
      </c>
      <c r="V12" s="8">
        <v>11460</v>
      </c>
      <c r="W12" s="8">
        <v>1846253.56</v>
      </c>
      <c r="X12" s="8">
        <v>1846254</v>
      </c>
      <c r="Y12" s="8">
        <f t="shared" si="0"/>
        <v>1166154</v>
      </c>
      <c r="Z12" s="8">
        <v>20545</v>
      </c>
      <c r="AA12" s="8">
        <v>324.20400000000001</v>
      </c>
      <c r="AB12" s="8">
        <f t="shared" si="1"/>
        <v>6.3370593823641908E-2</v>
      </c>
      <c r="AC12" s="8">
        <v>1271779.3616902102</v>
      </c>
      <c r="AD12" s="8">
        <v>10172761.95248683</v>
      </c>
      <c r="AE12" s="8">
        <v>21777</v>
      </c>
      <c r="AF12" s="8">
        <f t="shared" si="2"/>
        <v>11466318.31417704</v>
      </c>
    </row>
    <row r="13" spans="1:32" x14ac:dyDescent="0.25">
      <c r="A13" s="5" t="s">
        <v>11</v>
      </c>
      <c r="B13" s="5" t="s">
        <v>228</v>
      </c>
      <c r="C13" s="8">
        <f t="shared" si="3"/>
        <v>1171344.2937465385</v>
      </c>
      <c r="D13" s="8">
        <f t="shared" si="4"/>
        <v>8860373.6403000001</v>
      </c>
      <c r="E13" s="8">
        <f t="shared" si="5"/>
        <v>312933.55</v>
      </c>
      <c r="F13" s="8">
        <f t="shared" si="6"/>
        <v>5927430.1097999997</v>
      </c>
      <c r="G13" s="8">
        <f t="shared" si="7"/>
        <v>699662.6948467386</v>
      </c>
      <c r="H13" s="8">
        <f t="shared" si="8"/>
        <v>4992693.9187749727</v>
      </c>
      <c r="I13" s="8">
        <v>2530479</v>
      </c>
      <c r="J13" s="8">
        <f>SUMIF(Vandværker!$G:$G,'Costdrivere 2025'!$A13&amp;"_1",Vandværker!$F:$F)</f>
        <v>0</v>
      </c>
      <c r="K13" s="8">
        <f>SUMIF(Vandværker!$G:$G,'Costdrivere 2025'!$A13&amp;"_2",Vandværker!$F:$F)</f>
        <v>0</v>
      </c>
      <c r="L13" s="8">
        <f>SUMIF(Vandværker!$G:$G,'Costdrivere 2025'!$A13&amp;"_3",Vandværker!$F:$F)</f>
        <v>4486111</v>
      </c>
      <c r="M13" s="8">
        <f>SUMIF(Vandværker!$G:$G,'Costdrivere 2025'!$A13&amp;"_4",Vandværker!$F:$F)</f>
        <v>0</v>
      </c>
      <c r="N13" s="8"/>
      <c r="O13" s="8">
        <v>3</v>
      </c>
      <c r="P13" s="8">
        <v>900</v>
      </c>
      <c r="Q13" s="8">
        <v>750</v>
      </c>
      <c r="R13" s="8">
        <v>3.19</v>
      </c>
      <c r="S13" s="8">
        <v>14.34</v>
      </c>
      <c r="T13" s="8">
        <v>147.53</v>
      </c>
      <c r="U13" s="8">
        <v>36</v>
      </c>
      <c r="V13" s="8">
        <v>5068</v>
      </c>
      <c r="W13" s="8">
        <v>4785284</v>
      </c>
      <c r="X13" s="8">
        <v>4785284</v>
      </c>
      <c r="Y13" s="8">
        <f t="shared" si="0"/>
        <v>4486111</v>
      </c>
      <c r="Z13" s="8">
        <v>63417</v>
      </c>
      <c r="AA13" s="8">
        <v>165.955759</v>
      </c>
      <c r="AB13" s="8">
        <f t="shared" si="1"/>
        <v>0.38213196325413451</v>
      </c>
      <c r="AC13" s="8">
        <v>2570557.0858412692</v>
      </c>
      <c r="AD13" s="8">
        <v>8828729.5757246912</v>
      </c>
      <c r="AE13" s="8">
        <v>2749806</v>
      </c>
      <c r="AF13" s="8">
        <f t="shared" si="2"/>
        <v>14149092.661565959</v>
      </c>
    </row>
    <row r="14" spans="1:32" x14ac:dyDescent="0.25">
      <c r="A14" s="5" t="s">
        <v>12</v>
      </c>
      <c r="B14" s="5" t="s">
        <v>579</v>
      </c>
      <c r="C14" s="8">
        <f t="shared" si="3"/>
        <v>2232816.2255167323</v>
      </c>
      <c r="D14" s="8">
        <f t="shared" si="4"/>
        <v>7457047.0637999997</v>
      </c>
      <c r="E14" s="8">
        <f t="shared" si="5"/>
        <v>664326.67000000004</v>
      </c>
      <c r="F14" s="8">
        <f t="shared" si="6"/>
        <v>6206771.0499999998</v>
      </c>
      <c r="G14" s="8">
        <f t="shared" si="7"/>
        <v>3298765.8400407191</v>
      </c>
      <c r="H14" s="8">
        <f t="shared" si="8"/>
        <v>4622472.9401604794</v>
      </c>
      <c r="I14" s="8">
        <v>5133000</v>
      </c>
      <c r="J14" s="8">
        <f>SUMIF(Vandværker!$G:$G,'Costdrivere 2025'!$A14&amp;"_1",Vandværker!$F:$F)</f>
        <v>0</v>
      </c>
      <c r="K14" s="8">
        <f>SUMIF(Vandværker!$G:$G,'Costdrivere 2025'!$A14&amp;"_2",Vandværker!$F:$F)</f>
        <v>3626000</v>
      </c>
      <c r="L14" s="8">
        <f>SUMIF(Vandværker!$G:$G,'Costdrivere 2025'!$A14&amp;"_3",Vandværker!$F:$F)</f>
        <v>1410000</v>
      </c>
      <c r="M14" s="8">
        <f>SUMIF(Vandværker!$G:$G,'Costdrivere 2025'!$A14&amp;"_4",Vandværker!$F:$F)</f>
        <v>0</v>
      </c>
      <c r="N14" s="8">
        <v>16</v>
      </c>
      <c r="O14" s="8">
        <v>17</v>
      </c>
      <c r="P14" s="8">
        <v>225</v>
      </c>
      <c r="Q14" s="8">
        <v>882</v>
      </c>
      <c r="R14" s="8">
        <v>466</v>
      </c>
      <c r="S14" s="8">
        <v>17</v>
      </c>
      <c r="T14" s="8"/>
      <c r="U14" s="8">
        <v>8620</v>
      </c>
      <c r="V14" s="8">
        <v>28108</v>
      </c>
      <c r="W14" s="8">
        <v>4391840</v>
      </c>
      <c r="X14" s="8">
        <v>4392000</v>
      </c>
      <c r="Y14" s="8">
        <f t="shared" si="0"/>
        <v>5036000</v>
      </c>
      <c r="Z14" s="8">
        <v>43971</v>
      </c>
      <c r="AA14" s="8">
        <v>1368.3625769999996</v>
      </c>
      <c r="AB14" s="8">
        <f t="shared" si="1"/>
        <v>3.2134027003575392E-2</v>
      </c>
      <c r="AC14" s="8">
        <v>11519510.402974371</v>
      </c>
      <c r="AD14" s="8">
        <v>33738391.785604306</v>
      </c>
      <c r="AE14" s="8">
        <v>1361000</v>
      </c>
      <c r="AF14" s="8">
        <f t="shared" si="2"/>
        <v>46618902.18857868</v>
      </c>
    </row>
    <row r="15" spans="1:32" x14ac:dyDescent="0.25">
      <c r="A15" s="5" t="s">
        <v>13</v>
      </c>
      <c r="B15" s="5" t="s">
        <v>456</v>
      </c>
      <c r="C15" s="8">
        <f t="shared" si="3"/>
        <v>741210.50191533926</v>
      </c>
      <c r="D15" s="8">
        <f t="shared" si="4"/>
        <v>2133878.5536000002</v>
      </c>
      <c r="E15" s="8">
        <f t="shared" si="5"/>
        <v>220329.75</v>
      </c>
      <c r="F15" s="8">
        <f t="shared" si="6"/>
        <v>2443316.7120000003</v>
      </c>
      <c r="G15" s="8">
        <f t="shared" si="7"/>
        <v>1566922.6290373034</v>
      </c>
      <c r="H15" s="8">
        <f t="shared" si="8"/>
        <v>1654790.5278240205</v>
      </c>
      <c r="I15" s="8">
        <v>1532169</v>
      </c>
      <c r="J15" s="8">
        <f>SUMIF(Vandværker!$G:$G,'Costdrivere 2025'!$A15&amp;"_1",Vandværker!$F:$F)</f>
        <v>0</v>
      </c>
      <c r="K15" s="8">
        <f>SUMIF(Vandværker!$G:$G,'Costdrivere 2025'!$A15&amp;"_2",Vandværker!$F:$F)</f>
        <v>1497413</v>
      </c>
      <c r="L15" s="8">
        <f>SUMIF(Vandværker!$G:$G,'Costdrivere 2025'!$A15&amp;"_3",Vandværker!$F:$F)</f>
        <v>0</v>
      </c>
      <c r="M15" s="8">
        <f>SUMIF(Vandværker!$G:$G,'Costdrivere 2025'!$A15&amp;"_4",Vandværker!$F:$F)</f>
        <v>0</v>
      </c>
      <c r="N15" s="8"/>
      <c r="O15" s="8">
        <v>4</v>
      </c>
      <c r="P15" s="8">
        <v>540</v>
      </c>
      <c r="Q15" s="8"/>
      <c r="R15" s="8">
        <v>124.1</v>
      </c>
      <c r="S15" s="8">
        <v>8.3000000000000007</v>
      </c>
      <c r="T15" s="8"/>
      <c r="U15" s="8">
        <v>4924</v>
      </c>
      <c r="V15" s="8">
        <v>12350</v>
      </c>
      <c r="W15" s="8">
        <v>1399075</v>
      </c>
      <c r="X15" s="8">
        <v>1401973</v>
      </c>
      <c r="Y15" s="8">
        <f t="shared" si="0"/>
        <v>1497413</v>
      </c>
      <c r="Z15" s="8">
        <v>19224</v>
      </c>
      <c r="AA15" s="8">
        <v>342.30996291571694</v>
      </c>
      <c r="AB15" s="8">
        <f t="shared" si="1"/>
        <v>5.615962747988526E-2</v>
      </c>
      <c r="AC15" s="8">
        <v>2604339.1917597456</v>
      </c>
      <c r="AD15" s="8">
        <v>9176300.4203860238</v>
      </c>
      <c r="AE15" s="8">
        <v>653351.27399999998</v>
      </c>
      <c r="AF15" s="8">
        <f t="shared" si="2"/>
        <v>12433990.886145771</v>
      </c>
    </row>
    <row r="16" spans="1:32" x14ac:dyDescent="0.25">
      <c r="A16" s="5" t="s">
        <v>15</v>
      </c>
      <c r="B16" s="5" t="s">
        <v>463</v>
      </c>
      <c r="C16" s="8">
        <f t="shared" si="3"/>
        <v>940260.05308047915</v>
      </c>
      <c r="D16" s="8">
        <f t="shared" si="4"/>
        <v>2588857.0493999999</v>
      </c>
      <c r="E16" s="8">
        <f t="shared" si="5"/>
        <v>195436.71000000002</v>
      </c>
      <c r="F16" s="8">
        <f t="shared" si="6"/>
        <v>2599899.7218999998</v>
      </c>
      <c r="G16" s="8">
        <f t="shared" si="7"/>
        <v>1481225.8460532038</v>
      </c>
      <c r="H16" s="8">
        <f t="shared" si="8"/>
        <v>1992510.8656404668</v>
      </c>
      <c r="I16" s="8">
        <v>1988698</v>
      </c>
      <c r="J16" s="8">
        <f>SUMIF(Vandværker!$G:$G,'Costdrivere 2025'!$A16&amp;"_1",Vandværker!$F:$F)</f>
        <v>0</v>
      </c>
      <c r="K16" s="8">
        <f>SUMIF(Vandværker!$G:$G,'Costdrivere 2025'!$A16&amp;"_2",Vandværker!$F:$F)</f>
        <v>1865936</v>
      </c>
      <c r="L16" s="8">
        <f>SUMIF(Vandværker!$G:$G,'Costdrivere 2025'!$A16&amp;"_3",Vandværker!$F:$F)</f>
        <v>0</v>
      </c>
      <c r="M16" s="8">
        <f>SUMIF(Vandværker!$G:$G,'Costdrivere 2025'!$A16&amp;"_4",Vandværker!$F:$F)</f>
        <v>0</v>
      </c>
      <c r="N16" s="8">
        <v>2</v>
      </c>
      <c r="O16" s="8">
        <v>5</v>
      </c>
      <c r="P16" s="8">
        <v>108</v>
      </c>
      <c r="Q16" s="8"/>
      <c r="R16" s="8">
        <v>183.88</v>
      </c>
      <c r="S16" s="8">
        <v>31.33</v>
      </c>
      <c r="T16" s="8"/>
      <c r="U16" s="8">
        <v>399</v>
      </c>
      <c r="V16" s="8">
        <v>11606</v>
      </c>
      <c r="W16" s="8">
        <v>1720522</v>
      </c>
      <c r="X16" s="8">
        <v>1698534</v>
      </c>
      <c r="Y16" s="8">
        <f t="shared" si="0"/>
        <v>1865936</v>
      </c>
      <c r="Z16" s="8">
        <v>20019</v>
      </c>
      <c r="AA16" s="8">
        <v>254.32205999999999</v>
      </c>
      <c r="AB16" s="8">
        <f t="shared" si="1"/>
        <v>7.8715153534066218E-2</v>
      </c>
      <c r="AC16" s="8">
        <v>2287683.543443704</v>
      </c>
      <c r="AD16" s="8">
        <v>9770717.0294014774</v>
      </c>
      <c r="AE16" s="8">
        <v>433072</v>
      </c>
      <c r="AF16" s="8">
        <f t="shared" si="2"/>
        <v>12491472.572845181</v>
      </c>
    </row>
    <row r="17" spans="1:32" x14ac:dyDescent="0.25">
      <c r="A17" s="5" t="s">
        <v>16</v>
      </c>
      <c r="B17" s="5" t="s">
        <v>469</v>
      </c>
      <c r="C17" s="8">
        <f t="shared" si="3"/>
        <v>1543794.3884233702</v>
      </c>
      <c r="D17" s="8">
        <f t="shared" si="4"/>
        <v>4142759.1782</v>
      </c>
      <c r="E17" s="8">
        <f t="shared" si="5"/>
        <v>168184.15000000002</v>
      </c>
      <c r="F17" s="8">
        <f t="shared" si="6"/>
        <v>3879811.9740000004</v>
      </c>
      <c r="G17" s="8">
        <f t="shared" si="7"/>
        <v>1944565.8407050241</v>
      </c>
      <c r="H17" s="8">
        <f t="shared" si="8"/>
        <v>3748648.5699058347</v>
      </c>
      <c r="I17" s="8">
        <v>3425019</v>
      </c>
      <c r="J17" s="8">
        <f>SUMIF(Vandværker!$G:$G,'Costdrivere 2025'!$A17&amp;"_1",Vandværker!$F:$F)</f>
        <v>0</v>
      </c>
      <c r="K17" s="8">
        <f>SUMIF(Vandværker!$G:$G,'Costdrivere 2025'!$A17&amp;"_2",Vandværker!$F:$F)</f>
        <v>3124564</v>
      </c>
      <c r="L17" s="8">
        <f>SUMIF(Vandværker!$G:$G,'Costdrivere 2025'!$A17&amp;"_3",Vandværker!$F:$F)</f>
        <v>0</v>
      </c>
      <c r="M17" s="8">
        <f>SUMIF(Vandværker!$G:$G,'Costdrivere 2025'!$A17&amp;"_4",Vandværker!$F:$F)</f>
        <v>0</v>
      </c>
      <c r="N17" s="8">
        <v>2</v>
      </c>
      <c r="O17" s="8"/>
      <c r="P17" s="8"/>
      <c r="Q17" s="8">
        <v>1000</v>
      </c>
      <c r="R17" s="8">
        <v>240.5</v>
      </c>
      <c r="S17" s="8">
        <v>57.7</v>
      </c>
      <c r="T17" s="8"/>
      <c r="U17" s="8"/>
      <c r="V17" s="8">
        <v>15677</v>
      </c>
      <c r="W17" s="8">
        <v>3477848</v>
      </c>
      <c r="X17" s="8">
        <v>3477848</v>
      </c>
      <c r="Y17" s="8">
        <f t="shared" si="0"/>
        <v>3124564</v>
      </c>
      <c r="Z17" s="8">
        <v>42398</v>
      </c>
      <c r="AA17" s="8">
        <v>298.20744845770878</v>
      </c>
      <c r="AB17" s="8">
        <f t="shared" si="1"/>
        <v>0.14217619385188765</v>
      </c>
      <c r="AC17" s="8">
        <v>2170437.2488721162</v>
      </c>
      <c r="AD17" s="8">
        <v>12177623.993054276</v>
      </c>
      <c r="AE17" s="8">
        <v>1878171.6779999998</v>
      </c>
      <c r="AF17" s="8">
        <f t="shared" si="2"/>
        <v>16226232.919926392</v>
      </c>
    </row>
    <row r="18" spans="1:32" x14ac:dyDescent="0.25">
      <c r="A18" s="5" t="s">
        <v>17</v>
      </c>
      <c r="B18" s="5" t="s">
        <v>472</v>
      </c>
      <c r="C18" s="8">
        <f t="shared" si="3"/>
        <v>801486.58488302876</v>
      </c>
      <c r="D18" s="8">
        <f t="shared" si="4"/>
        <v>2447862.6976999999</v>
      </c>
      <c r="E18" s="8">
        <f t="shared" si="5"/>
        <v>266068.34999999998</v>
      </c>
      <c r="F18" s="8">
        <f t="shared" si="6"/>
        <v>3252190.3669999996</v>
      </c>
      <c r="G18" s="8">
        <f t="shared" si="7"/>
        <v>1522409.4937030305</v>
      </c>
      <c r="H18" s="8">
        <f t="shared" si="8"/>
        <v>3722835.5835575927</v>
      </c>
      <c r="I18" s="8">
        <v>1669297</v>
      </c>
      <c r="J18" s="8">
        <f>SUMIF(Vandværker!$G:$G,'Costdrivere 2025'!$A18&amp;"_1",Vandværker!$F:$F)</f>
        <v>0</v>
      </c>
      <c r="K18" s="8">
        <f>SUMIF(Vandværker!$G:$G,'Costdrivere 2025'!$A18&amp;"_2",Vandværker!$F:$F)</f>
        <v>465639</v>
      </c>
      <c r="L18" s="8">
        <f>SUMIF(Vandværker!$G:$G,'Costdrivere 2025'!$A18&amp;"_3",Vandværker!$F:$F)</f>
        <v>830663</v>
      </c>
      <c r="M18" s="8">
        <f>SUMIF(Vandværker!$G:$G,'Costdrivere 2025'!$A18&amp;"_4",Vandværker!$F:$F)</f>
        <v>0</v>
      </c>
      <c r="N18" s="8"/>
      <c r="O18" s="8"/>
      <c r="P18" s="8"/>
      <c r="Q18" s="8">
        <v>2950</v>
      </c>
      <c r="R18" s="8">
        <v>157.6</v>
      </c>
      <c r="S18" s="8">
        <v>57.3</v>
      </c>
      <c r="T18" s="8"/>
      <c r="U18" s="8"/>
      <c r="V18" s="8">
        <v>11963</v>
      </c>
      <c r="W18" s="8">
        <v>3451190</v>
      </c>
      <c r="X18" s="8">
        <v>3451190</v>
      </c>
      <c r="Y18" s="8">
        <f t="shared" si="0"/>
        <v>1296302</v>
      </c>
      <c r="Z18" s="8">
        <v>39974</v>
      </c>
      <c r="AA18" s="8">
        <v>220.97587026335583</v>
      </c>
      <c r="AB18" s="8">
        <f t="shared" si="1"/>
        <v>0.18089757923505209</v>
      </c>
      <c r="AC18" s="8">
        <v>1237194.5792337882</v>
      </c>
      <c r="AD18" s="8">
        <v>8857650.4264626503</v>
      </c>
      <c r="AE18" s="8">
        <v>1492643.25</v>
      </c>
      <c r="AF18" s="8">
        <f t="shared" si="2"/>
        <v>11587488.255696438</v>
      </c>
    </row>
    <row r="19" spans="1:32" x14ac:dyDescent="0.25">
      <c r="A19" s="5" t="s">
        <v>18</v>
      </c>
      <c r="B19" s="5" t="s">
        <v>580</v>
      </c>
      <c r="C19" s="8">
        <f t="shared" si="3"/>
        <v>682994.02034960629</v>
      </c>
      <c r="D19" s="8">
        <f t="shared" si="4"/>
        <v>2014534.71</v>
      </c>
      <c r="E19" s="8">
        <f t="shared" si="5"/>
        <v>0</v>
      </c>
      <c r="F19" s="8">
        <f t="shared" si="6"/>
        <v>1485338.2261999999</v>
      </c>
      <c r="G19" s="8">
        <f t="shared" si="7"/>
        <v>574325.55098185805</v>
      </c>
      <c r="H19" s="8">
        <f t="shared" si="8"/>
        <v>1612824.2820109134</v>
      </c>
      <c r="I19" s="8">
        <v>1400743</v>
      </c>
      <c r="J19" s="8">
        <f>SUMIF(Vandværker!$G:$G,'Costdrivere 2025'!$A19&amp;"_1",Vandværker!$F:$F)</f>
        <v>0</v>
      </c>
      <c r="K19" s="8">
        <f>SUMIF(Vandværker!$G:$G,'Costdrivere 2025'!$A19&amp;"_2",Vandværker!$F:$F)</f>
        <v>1400747</v>
      </c>
      <c r="L19" s="8">
        <f>SUMIF(Vandværker!$G:$G,'Costdrivere 2025'!$A19&amp;"_3",Vandværker!$F:$F)</f>
        <v>0</v>
      </c>
      <c r="M19" s="8">
        <f>SUMIF(Vandværker!$G:$G,'Costdrivere 2025'!$A19&amp;"_4",Vandværker!$F:$F)</f>
        <v>0</v>
      </c>
      <c r="N19" s="8"/>
      <c r="O19" s="8"/>
      <c r="P19" s="8"/>
      <c r="Q19" s="8"/>
      <c r="R19" s="8">
        <v>72.569999999999993</v>
      </c>
      <c r="S19" s="8">
        <v>26.05</v>
      </c>
      <c r="T19" s="8"/>
      <c r="U19" s="8"/>
      <c r="V19" s="8">
        <v>4075</v>
      </c>
      <c r="W19" s="8">
        <v>1359621</v>
      </c>
      <c r="X19" s="8">
        <v>1359621</v>
      </c>
      <c r="Y19" s="8">
        <f t="shared" si="0"/>
        <v>1400747</v>
      </c>
      <c r="Z19" s="8">
        <v>14759</v>
      </c>
      <c r="AA19" s="8">
        <v>99.171000000000006</v>
      </c>
      <c r="AB19" s="8">
        <f t="shared" si="1"/>
        <v>0.14882374887820027</v>
      </c>
      <c r="AC19" s="8">
        <v>1678122.4978601697</v>
      </c>
      <c r="AD19" s="8">
        <v>4127271.2853011368</v>
      </c>
      <c r="AE19" s="8">
        <v>740000</v>
      </c>
      <c r="AF19" s="8">
        <f t="shared" si="2"/>
        <v>6545393.7831613068</v>
      </c>
    </row>
    <row r="20" spans="1:32" x14ac:dyDescent="0.25">
      <c r="A20" s="5" t="s">
        <v>19</v>
      </c>
      <c r="B20" s="5" t="s">
        <v>223</v>
      </c>
      <c r="C20" s="8">
        <f t="shared" si="3"/>
        <v>861988.64580818021</v>
      </c>
      <c r="D20" s="8">
        <f t="shared" si="4"/>
        <v>2485114.943</v>
      </c>
      <c r="E20" s="8">
        <f t="shared" si="5"/>
        <v>176723.75</v>
      </c>
      <c r="F20" s="8">
        <f t="shared" si="6"/>
        <v>4193064.9681000002</v>
      </c>
      <c r="G20" s="8">
        <f t="shared" si="7"/>
        <v>1590562.8171507402</v>
      </c>
      <c r="H20" s="8">
        <f t="shared" si="8"/>
        <v>2218608.1607196941</v>
      </c>
      <c r="I20" s="8">
        <v>1807943</v>
      </c>
      <c r="J20" s="8">
        <f>SUMIF(Vandværker!$G:$G,'Costdrivere 2025'!$A20&amp;"_1",Vandværker!$F:$F)</f>
        <v>0</v>
      </c>
      <c r="K20" s="8">
        <f>SUMIF(Vandværker!$G:$G,'Costdrivere 2025'!$A20&amp;"_2",Vandværker!$F:$F)</f>
        <v>1708324</v>
      </c>
      <c r="L20" s="8">
        <f>SUMIF(Vandværker!$G:$G,'Costdrivere 2025'!$A20&amp;"_3",Vandværker!$F:$F)</f>
        <v>0</v>
      </c>
      <c r="M20" s="8">
        <f>SUMIF(Vandværker!$G:$G,'Costdrivere 2025'!$A20&amp;"_4",Vandværker!$F:$F)</f>
        <v>63564</v>
      </c>
      <c r="N20" s="8"/>
      <c r="O20" s="8">
        <v>1</v>
      </c>
      <c r="P20" s="8">
        <v>550</v>
      </c>
      <c r="Q20" s="8"/>
      <c r="R20" s="8">
        <v>272.75</v>
      </c>
      <c r="S20" s="8">
        <v>59.48</v>
      </c>
      <c r="T20" s="8"/>
      <c r="U20" s="8">
        <v>40</v>
      </c>
      <c r="V20" s="8">
        <v>12556</v>
      </c>
      <c r="W20" s="8">
        <v>1939288</v>
      </c>
      <c r="X20" s="8">
        <v>1939288</v>
      </c>
      <c r="Y20" s="8">
        <f t="shared" si="0"/>
        <v>1771888</v>
      </c>
      <c r="Z20" s="8">
        <v>19905</v>
      </c>
      <c r="AA20" s="8">
        <v>341.04500000000002</v>
      </c>
      <c r="AB20" s="8">
        <f t="shared" si="1"/>
        <v>5.8364731926871818E-2</v>
      </c>
      <c r="AC20" s="8">
        <v>3278482.468379057</v>
      </c>
      <c r="AD20" s="8">
        <v>21789671.850936245</v>
      </c>
      <c r="AE20" s="8">
        <v>493885</v>
      </c>
      <c r="AF20" s="8">
        <f t="shared" si="2"/>
        <v>25562039.319315303</v>
      </c>
    </row>
    <row r="21" spans="1:32" x14ac:dyDescent="0.25">
      <c r="A21" s="5" t="s">
        <v>20</v>
      </c>
      <c r="B21" s="5" t="s">
        <v>477</v>
      </c>
      <c r="C21" s="8">
        <f t="shared" si="3"/>
        <v>660448.89211439865</v>
      </c>
      <c r="D21" s="8">
        <f t="shared" si="4"/>
        <v>2093832.2098000001</v>
      </c>
      <c r="E21" s="8">
        <f t="shared" si="5"/>
        <v>87447.75</v>
      </c>
      <c r="F21" s="8">
        <f t="shared" si="6"/>
        <v>963264.28080000007</v>
      </c>
      <c r="G21" s="8">
        <f t="shared" si="7"/>
        <v>727348.75010042277</v>
      </c>
      <c r="H21" s="8">
        <f t="shared" si="8"/>
        <v>1457234.794876911</v>
      </c>
      <c r="I21" s="8">
        <v>1350131</v>
      </c>
      <c r="J21" s="8">
        <f>SUMIF(Vandværker!$G:$G,'Costdrivere 2025'!$A21&amp;"_1",Vandværker!$F:$F)</f>
        <v>0</v>
      </c>
      <c r="K21" s="8">
        <f>SUMIF(Vandværker!$G:$G,'Costdrivere 2025'!$A21&amp;"_2",Vandværker!$F:$F)</f>
        <v>0</v>
      </c>
      <c r="L21" s="8">
        <f>SUMIF(Vandværker!$G:$G,'Costdrivere 2025'!$A21&amp;"_3",Vandværker!$F:$F)</f>
        <v>0</v>
      </c>
      <c r="M21" s="8">
        <f>SUMIF(Vandværker!$G:$G,'Costdrivere 2025'!$A21&amp;"_4",Vandværker!$F:$F)</f>
        <v>1265505</v>
      </c>
      <c r="N21" s="8"/>
      <c r="O21" s="8">
        <v>1</v>
      </c>
      <c r="P21" s="8"/>
      <c r="Q21" s="8"/>
      <c r="R21" s="8">
        <v>103.28</v>
      </c>
      <c r="S21" s="8"/>
      <c r="T21" s="8"/>
      <c r="U21" s="8">
        <v>803</v>
      </c>
      <c r="V21" s="8">
        <v>5290</v>
      </c>
      <c r="W21" s="8">
        <v>1214384</v>
      </c>
      <c r="X21" s="8">
        <v>1210734</v>
      </c>
      <c r="Y21" s="8">
        <f t="shared" si="0"/>
        <v>1265505</v>
      </c>
      <c r="Z21" s="8">
        <v>8597</v>
      </c>
      <c r="AA21" s="8">
        <v>305.64499999999998</v>
      </c>
      <c r="AB21" s="8">
        <f t="shared" si="1"/>
        <v>2.8127402705753406E-2</v>
      </c>
      <c r="AC21" s="8">
        <v>2335809.7818172975</v>
      </c>
      <c r="AD21" s="8">
        <v>5960443.6815933334</v>
      </c>
      <c r="AE21" s="8">
        <v>35000</v>
      </c>
      <c r="AF21" s="8">
        <f t="shared" si="2"/>
        <v>8331253.4634106308</v>
      </c>
    </row>
    <row r="22" spans="1:32" x14ac:dyDescent="0.25">
      <c r="A22" s="5" t="s">
        <v>21</v>
      </c>
      <c r="B22" s="5" t="s">
        <v>229</v>
      </c>
      <c r="C22" s="8">
        <f t="shared" si="3"/>
        <v>680259.26389206911</v>
      </c>
      <c r="D22" s="8">
        <f t="shared" si="4"/>
        <v>1976178.1572</v>
      </c>
      <c r="E22" s="8">
        <f t="shared" si="5"/>
        <v>0</v>
      </c>
      <c r="F22" s="8">
        <f t="shared" si="6"/>
        <v>2039953.0652999999</v>
      </c>
      <c r="G22" s="8">
        <f t="shared" si="7"/>
        <v>1353787.7643119115</v>
      </c>
      <c r="H22" s="8">
        <f t="shared" si="8"/>
        <v>1507489.4707909415</v>
      </c>
      <c r="I22" s="8">
        <v>1394595</v>
      </c>
      <c r="J22" s="8">
        <f>SUMIF(Vandværker!$G:$G,'Costdrivere 2025'!$A22&amp;"_1",Vandværker!$F:$F)</f>
        <v>0</v>
      </c>
      <c r="K22" s="8">
        <f>SUMIF(Vandværker!$G:$G,'Costdrivere 2025'!$A22&amp;"_2",Vandværker!$F:$F)</f>
        <v>1369679</v>
      </c>
      <c r="L22" s="8">
        <f>SUMIF(Vandværker!$G:$G,'Costdrivere 2025'!$A22&amp;"_3",Vandværker!$F:$F)</f>
        <v>0</v>
      </c>
      <c r="M22" s="8">
        <f>SUMIF(Vandværker!$G:$G,'Costdrivere 2025'!$A22&amp;"_4",Vandværker!$F:$F)</f>
        <v>0</v>
      </c>
      <c r="N22" s="8"/>
      <c r="O22" s="8"/>
      <c r="P22" s="8"/>
      <c r="Q22" s="8"/>
      <c r="R22" s="8">
        <v>140.22999999999999</v>
      </c>
      <c r="S22" s="8">
        <v>17</v>
      </c>
      <c r="T22" s="8"/>
      <c r="U22" s="8">
        <v>1545</v>
      </c>
      <c r="V22" s="8">
        <v>10508</v>
      </c>
      <c r="W22" s="8">
        <v>1261111</v>
      </c>
      <c r="X22" s="8">
        <v>1261111</v>
      </c>
      <c r="Y22" s="8">
        <f t="shared" si="0"/>
        <v>1369679</v>
      </c>
      <c r="Z22" s="8">
        <v>19634</v>
      </c>
      <c r="AA22" s="8">
        <v>282.18799999999999</v>
      </c>
      <c r="AB22" s="8">
        <f t="shared" si="1"/>
        <v>6.9577728322961996E-2</v>
      </c>
      <c r="AC22" s="8">
        <v>3902351.502122758</v>
      </c>
      <c r="AD22" s="8">
        <v>8648507.2066666689</v>
      </c>
      <c r="AE22" s="8">
        <v>165000</v>
      </c>
      <c r="AF22" s="8">
        <f t="shared" si="2"/>
        <v>12715858.708789427</v>
      </c>
    </row>
    <row r="23" spans="1:32" x14ac:dyDescent="0.25">
      <c r="A23" s="5" t="s">
        <v>22</v>
      </c>
      <c r="B23" s="5" t="s">
        <v>581</v>
      </c>
      <c r="C23" s="8">
        <f t="shared" si="3"/>
        <v>917250.94167786022</v>
      </c>
      <c r="D23" s="8">
        <f t="shared" si="4"/>
        <v>2307250.9623999996</v>
      </c>
      <c r="E23" s="8">
        <f t="shared" si="5"/>
        <v>192982.55</v>
      </c>
      <c r="F23" s="8">
        <f t="shared" si="6"/>
        <v>3498472.4879999999</v>
      </c>
      <c r="G23" s="8">
        <f t="shared" si="7"/>
        <v>1464233.143187809</v>
      </c>
      <c r="H23" s="8">
        <f t="shared" si="8"/>
        <v>1753856.9684714568</v>
      </c>
      <c r="I23" s="8">
        <v>1935406</v>
      </c>
      <c r="J23" s="8">
        <f>SUMIF(Vandværker!$G:$G,'Costdrivere 2025'!$A23&amp;"_1",Vandværker!$F:$F)</f>
        <v>0</v>
      </c>
      <c r="K23" s="8">
        <f>SUMIF(Vandværker!$G:$G,'Costdrivere 2025'!$A23&amp;"_2",Vandværker!$F:$F)</f>
        <v>1637841</v>
      </c>
      <c r="L23" s="8">
        <f>SUMIF(Vandværker!$G:$G,'Costdrivere 2025'!$A23&amp;"_3",Vandværker!$F:$F)</f>
        <v>0</v>
      </c>
      <c r="M23" s="8">
        <f>SUMIF(Vandværker!$G:$G,'Costdrivere 2025'!$A23&amp;"_4",Vandværker!$F:$F)</f>
        <v>0</v>
      </c>
      <c r="N23" s="8"/>
      <c r="O23" s="8">
        <v>8</v>
      </c>
      <c r="P23" s="8"/>
      <c r="Q23" s="8"/>
      <c r="R23" s="8">
        <v>200</v>
      </c>
      <c r="S23" s="8">
        <v>46.4</v>
      </c>
      <c r="T23" s="8"/>
      <c r="U23" s="8">
        <v>1327</v>
      </c>
      <c r="V23" s="8">
        <v>11459</v>
      </c>
      <c r="W23" s="8">
        <v>1492658</v>
      </c>
      <c r="X23" s="8">
        <v>1496427</v>
      </c>
      <c r="Y23" s="8">
        <f t="shared" si="0"/>
        <v>1637841</v>
      </c>
      <c r="Z23" s="8">
        <v>22889</v>
      </c>
      <c r="AA23" s="8">
        <v>412.64103999999992</v>
      </c>
      <c r="AB23" s="8">
        <f t="shared" si="1"/>
        <v>5.5469518979498512E-2</v>
      </c>
      <c r="AC23" s="8">
        <v>2203297.6735244705</v>
      </c>
      <c r="AD23" s="8">
        <v>11030607.264308335</v>
      </c>
      <c r="AE23" s="8">
        <v>483000</v>
      </c>
      <c r="AF23" s="8">
        <f t="shared" si="2"/>
        <v>13716904.937832806</v>
      </c>
    </row>
    <row r="24" spans="1:32" x14ac:dyDescent="0.25">
      <c r="A24" s="5" t="s">
        <v>23</v>
      </c>
      <c r="B24" s="5" t="s">
        <v>212</v>
      </c>
      <c r="C24" s="8">
        <f t="shared" si="3"/>
        <v>1552976.1894005889</v>
      </c>
      <c r="D24" s="8">
        <f t="shared" si="4"/>
        <v>4501374.6581999995</v>
      </c>
      <c r="E24" s="8">
        <f t="shared" si="5"/>
        <v>229133.75</v>
      </c>
      <c r="F24" s="8">
        <f t="shared" si="6"/>
        <v>4405761.62</v>
      </c>
      <c r="G24" s="8">
        <f t="shared" si="7"/>
        <v>2441827.3172037257</v>
      </c>
      <c r="H24" s="8">
        <f t="shared" si="8"/>
        <v>3383666.4084338602</v>
      </c>
      <c r="I24" s="8">
        <v>3447359</v>
      </c>
      <c r="J24" s="8">
        <f>SUMIF(Vandværker!$G:$G,'Costdrivere 2025'!$A24&amp;"_1",Vandværker!$F:$F)</f>
        <v>0</v>
      </c>
      <c r="K24" s="8">
        <f>SUMIF(Vandværker!$G:$G,'Costdrivere 2025'!$A24&amp;"_2",Vandværker!$F:$F)</f>
        <v>2378138</v>
      </c>
      <c r="L24" s="8">
        <f>SUMIF(Vandværker!$G:$G,'Costdrivere 2025'!$A24&amp;"_3",Vandværker!$F:$F)</f>
        <v>0</v>
      </c>
      <c r="M24" s="8">
        <f>SUMIF(Vandværker!$G:$G,'Costdrivere 2025'!$A24&amp;"_4",Vandværker!$F:$F)</f>
        <v>895713</v>
      </c>
      <c r="N24" s="8">
        <v>2</v>
      </c>
      <c r="O24" s="8"/>
      <c r="P24" s="8">
        <v>780</v>
      </c>
      <c r="Q24" s="8"/>
      <c r="R24" s="8">
        <v>318</v>
      </c>
      <c r="S24" s="8">
        <v>48</v>
      </c>
      <c r="T24" s="8"/>
      <c r="U24" s="8">
        <v>1232</v>
      </c>
      <c r="V24" s="8">
        <v>20161</v>
      </c>
      <c r="W24" s="8">
        <v>3102918</v>
      </c>
      <c r="X24" s="8">
        <v>3102918</v>
      </c>
      <c r="Y24" s="8">
        <f t="shared" si="0"/>
        <v>3273851</v>
      </c>
      <c r="Z24" s="8">
        <v>19644</v>
      </c>
      <c r="AA24" s="8">
        <v>730.28099999999995</v>
      </c>
      <c r="AB24" s="8">
        <f t="shared" si="1"/>
        <v>2.6899234678158135E-2</v>
      </c>
      <c r="AC24" s="8">
        <v>5530335.9214447103</v>
      </c>
      <c r="AD24" s="8">
        <v>17342780.741866663</v>
      </c>
      <c r="AE24" s="8">
        <v>770000</v>
      </c>
      <c r="AF24" s="8">
        <f t="shared" si="2"/>
        <v>23643116.663311373</v>
      </c>
    </row>
    <row r="25" spans="1:32" x14ac:dyDescent="0.25">
      <c r="A25" s="5" t="s">
        <v>24</v>
      </c>
      <c r="B25" s="5" t="s">
        <v>230</v>
      </c>
      <c r="C25" s="8">
        <f t="shared" si="3"/>
        <v>760635.25128971064</v>
      </c>
      <c r="D25" s="8">
        <f t="shared" si="4"/>
        <v>2376071.8476</v>
      </c>
      <c r="E25" s="8">
        <f t="shared" si="5"/>
        <v>240944.39</v>
      </c>
      <c r="F25" s="8">
        <f t="shared" si="6"/>
        <v>1404840.9888000002</v>
      </c>
      <c r="G25" s="8">
        <f t="shared" si="7"/>
        <v>872528.53051030729</v>
      </c>
      <c r="H25" s="8">
        <f t="shared" si="8"/>
        <v>2476789.2101680697</v>
      </c>
      <c r="I25" s="8">
        <v>1576247</v>
      </c>
      <c r="J25" s="8">
        <f>SUMIF(Vandværker!$G:$G,'Costdrivere 2025'!$A25&amp;"_1",Vandværker!$F:$F)</f>
        <v>0</v>
      </c>
      <c r="K25" s="8">
        <f>SUMIF(Vandværker!$G:$G,'Costdrivere 2025'!$A25&amp;"_2",Vandværker!$F:$F)</f>
        <v>1242603</v>
      </c>
      <c r="L25" s="8">
        <f>SUMIF(Vandværker!$G:$G,'Costdrivere 2025'!$A25&amp;"_3",Vandværker!$F:$F)</f>
        <v>291280</v>
      </c>
      <c r="M25" s="8">
        <f>SUMIF(Vandværker!$G:$G,'Costdrivere 2025'!$A25&amp;"_4",Vandværker!$F:$F)</f>
        <v>0</v>
      </c>
      <c r="N25" s="8">
        <v>3</v>
      </c>
      <c r="O25" s="8">
        <v>1</v>
      </c>
      <c r="P25" s="8">
        <v>667</v>
      </c>
      <c r="Q25" s="8"/>
      <c r="R25" s="8">
        <v>115.62</v>
      </c>
      <c r="S25" s="8">
        <v>11.98</v>
      </c>
      <c r="T25" s="8"/>
      <c r="U25" s="8">
        <v>457</v>
      </c>
      <c r="V25" s="8">
        <v>6468</v>
      </c>
      <c r="W25" s="8">
        <v>2192204.7200000002</v>
      </c>
      <c r="X25" s="8">
        <v>2156705.4300000002</v>
      </c>
      <c r="Y25" s="8">
        <f t="shared" si="0"/>
        <v>1533883</v>
      </c>
      <c r="Z25" s="8">
        <v>14058</v>
      </c>
      <c r="AA25" s="8">
        <v>181.404</v>
      </c>
      <c r="AB25" s="8">
        <f t="shared" si="1"/>
        <v>7.7495534828338958E-2</v>
      </c>
      <c r="AC25" s="8">
        <v>3392997.250988422</v>
      </c>
      <c r="AD25" s="8">
        <v>6764745.6984446039</v>
      </c>
      <c r="AE25" s="8">
        <v>689547</v>
      </c>
      <c r="AF25" s="8">
        <f t="shared" si="2"/>
        <v>10847289.949433025</v>
      </c>
    </row>
    <row r="26" spans="1:32" x14ac:dyDescent="0.25">
      <c r="A26" s="5" t="s">
        <v>25</v>
      </c>
      <c r="B26" s="5" t="s">
        <v>221</v>
      </c>
      <c r="C26" s="8">
        <f t="shared" si="3"/>
        <v>1690201.7855475051</v>
      </c>
      <c r="D26" s="8">
        <f t="shared" si="4"/>
        <v>6148024.3925999999</v>
      </c>
      <c r="E26" s="8">
        <f t="shared" si="5"/>
        <v>333072.15000000002</v>
      </c>
      <c r="F26" s="8">
        <f t="shared" si="6"/>
        <v>4020993.4741999996</v>
      </c>
      <c r="G26" s="8">
        <f t="shared" si="7"/>
        <v>2453884.0046038874</v>
      </c>
      <c r="H26" s="8">
        <f t="shared" si="8"/>
        <v>3283513.1731893527</v>
      </c>
      <c r="I26" s="8">
        <v>3782720</v>
      </c>
      <c r="J26" s="8">
        <f>SUMIF(Vandværker!$G:$G,'Costdrivere 2025'!$A26&amp;"_1",Vandværker!$F:$F)</f>
        <v>0</v>
      </c>
      <c r="K26" s="8">
        <f>SUMIF(Vandværker!$G:$G,'Costdrivere 2025'!$A26&amp;"_2",Vandværker!$F:$F)</f>
        <v>678363</v>
      </c>
      <c r="L26" s="8">
        <f>SUMIF(Vandværker!$G:$G,'Costdrivere 2025'!$A26&amp;"_3",Vandværker!$F:$F)</f>
        <v>2629006</v>
      </c>
      <c r="M26" s="8">
        <f>SUMIF(Vandværker!$G:$G,'Costdrivere 2025'!$A26&amp;"_4",Vandværker!$F:$F)</f>
        <v>0</v>
      </c>
      <c r="N26" s="8">
        <v>2</v>
      </c>
      <c r="O26" s="8">
        <v>14</v>
      </c>
      <c r="P26" s="8">
        <v>120</v>
      </c>
      <c r="Q26" s="8"/>
      <c r="R26" s="8">
        <v>263.64999999999998</v>
      </c>
      <c r="S26" s="8">
        <v>12.41</v>
      </c>
      <c r="T26" s="8"/>
      <c r="U26" s="8">
        <v>6518</v>
      </c>
      <c r="V26" s="8">
        <v>20271</v>
      </c>
      <c r="W26" s="8">
        <v>3000816</v>
      </c>
      <c r="X26" s="8">
        <v>3000816</v>
      </c>
      <c r="Y26" s="8">
        <f t="shared" si="0"/>
        <v>3307369</v>
      </c>
      <c r="Z26" s="8">
        <v>31795</v>
      </c>
      <c r="AA26" s="8">
        <v>871.53800000000001</v>
      </c>
      <c r="AB26" s="8">
        <f t="shared" si="1"/>
        <v>3.6481484456214186E-2</v>
      </c>
      <c r="AC26" s="8">
        <v>6753535.2320018914</v>
      </c>
      <c r="AD26" s="8">
        <v>21864412.070766665</v>
      </c>
      <c r="AE26" s="8">
        <v>2998305.4160226202</v>
      </c>
      <c r="AF26" s="8">
        <f t="shared" si="2"/>
        <v>31616252.718791179</v>
      </c>
    </row>
    <row r="27" spans="1:32" x14ac:dyDescent="0.25">
      <c r="A27" s="5" t="s">
        <v>26</v>
      </c>
      <c r="B27" s="5" t="s">
        <v>231</v>
      </c>
      <c r="C27" s="8">
        <f t="shared" si="3"/>
        <v>970.41327026798842</v>
      </c>
      <c r="D27" s="8">
        <f t="shared" si="4"/>
        <v>0</v>
      </c>
      <c r="E27" s="8">
        <f t="shared" si="5"/>
        <v>0</v>
      </c>
      <c r="F27" s="8">
        <f t="shared" si="6"/>
        <v>1200740.3784999999</v>
      </c>
      <c r="G27" s="8">
        <f t="shared" si="7"/>
        <v>1054312.4463503961</v>
      </c>
      <c r="H27" s="8">
        <f t="shared" si="8"/>
        <v>1413651.7013774177</v>
      </c>
      <c r="I27" s="8">
        <v>1058</v>
      </c>
      <c r="J27" s="8">
        <f>SUMIF(Vandværker!$G:$G,'Costdrivere 2025'!$A27&amp;"_1",Vandværker!$F:$F)</f>
        <v>0</v>
      </c>
      <c r="K27" s="8">
        <f>SUMIF(Vandværker!$G:$G,'Costdrivere 2025'!$A27&amp;"_2",Vandværker!$F:$F)</f>
        <v>0</v>
      </c>
      <c r="L27" s="8">
        <f>SUMIF(Vandværker!$G:$G,'Costdrivere 2025'!$A27&amp;"_3",Vandværker!$F:$F)</f>
        <v>0</v>
      </c>
      <c r="M27" s="8">
        <f>SUMIF(Vandværker!$G:$G,'Costdrivere 2025'!$A27&amp;"_4",Vandværker!$F:$F)</f>
        <v>0</v>
      </c>
      <c r="N27" s="8"/>
      <c r="O27" s="8"/>
      <c r="P27" s="8"/>
      <c r="Q27" s="8"/>
      <c r="R27" s="8">
        <v>69.680000000000007</v>
      </c>
      <c r="S27" s="8">
        <v>17.71</v>
      </c>
      <c r="T27" s="8"/>
      <c r="U27" s="8">
        <v>163</v>
      </c>
      <c r="V27" s="8">
        <v>7972</v>
      </c>
      <c r="W27" s="8">
        <v>1174008</v>
      </c>
      <c r="X27" s="8">
        <v>1174008</v>
      </c>
      <c r="Y27" s="8">
        <f t="shared" si="0"/>
        <v>0</v>
      </c>
      <c r="Z27" s="8">
        <v>17038</v>
      </c>
      <c r="AA27" s="8">
        <v>94.331285852782358</v>
      </c>
      <c r="AB27" s="8">
        <f t="shared" si="1"/>
        <v>0.18061876127280049</v>
      </c>
      <c r="AC27" s="8">
        <v>199871.68587643985</v>
      </c>
      <c r="AD27" s="8">
        <v>4568864.3769881567</v>
      </c>
      <c r="AE27" s="8">
        <v>36295</v>
      </c>
      <c r="AF27" s="8">
        <f t="shared" si="2"/>
        <v>4805031.062864597</v>
      </c>
    </row>
    <row r="28" spans="1:32" x14ac:dyDescent="0.25">
      <c r="A28" s="5" t="s">
        <v>27</v>
      </c>
      <c r="B28" s="5" t="s">
        <v>232</v>
      </c>
      <c r="C28" s="8">
        <f t="shared" si="3"/>
        <v>368350.52418936329</v>
      </c>
      <c r="D28" s="8">
        <f t="shared" si="4"/>
        <v>3974652.2773000002</v>
      </c>
      <c r="E28" s="8">
        <f t="shared" si="5"/>
        <v>183684.15000000002</v>
      </c>
      <c r="F28" s="8">
        <f t="shared" si="6"/>
        <v>1562714.2027999999</v>
      </c>
      <c r="G28" s="8">
        <f t="shared" si="7"/>
        <v>803117.52539051929</v>
      </c>
      <c r="H28" s="8">
        <f t="shared" si="8"/>
        <v>2139222.727215799</v>
      </c>
      <c r="I28" s="8">
        <v>711804</v>
      </c>
      <c r="J28" s="8">
        <f>SUMIF(Vandværker!$G:$G,'Costdrivere 2025'!$A28&amp;"_1",Vandværker!$F:$F)</f>
        <v>0</v>
      </c>
      <c r="K28" s="8">
        <f>SUMIF(Vandværker!$G:$G,'Costdrivere 2025'!$A28&amp;"_2",Vandværker!$F:$F)</f>
        <v>0</v>
      </c>
      <c r="L28" s="8">
        <f>SUMIF(Vandværker!$G:$G,'Costdrivere 2025'!$A28&amp;"_3",Vandværker!$F:$F)</f>
        <v>1930149</v>
      </c>
      <c r="M28" s="8">
        <f>SUMIF(Vandværker!$G:$G,'Costdrivere 2025'!$A28&amp;"_4",Vandværker!$F:$F)</f>
        <v>0</v>
      </c>
      <c r="N28" s="8"/>
      <c r="O28" s="8">
        <v>2</v>
      </c>
      <c r="P28" s="8">
        <v>500</v>
      </c>
      <c r="Q28" s="8"/>
      <c r="R28" s="8">
        <v>121.47</v>
      </c>
      <c r="S28" s="8">
        <v>16.13</v>
      </c>
      <c r="T28" s="8"/>
      <c r="U28" s="8">
        <v>310</v>
      </c>
      <c r="V28" s="8">
        <v>5902</v>
      </c>
      <c r="W28" s="8">
        <v>1862174</v>
      </c>
      <c r="X28" s="8">
        <v>1862174</v>
      </c>
      <c r="Y28" s="8">
        <f t="shared" si="0"/>
        <v>1930149</v>
      </c>
      <c r="Z28" s="8">
        <v>22514</v>
      </c>
      <c r="AA28" s="8">
        <v>146.79395443441643</v>
      </c>
      <c r="AB28" s="8">
        <f t="shared" si="1"/>
        <v>0.15337143880852835</v>
      </c>
      <c r="AC28" s="8">
        <v>1713631.2885756546</v>
      </c>
      <c r="AD28" s="8">
        <v>5299876.8044891581</v>
      </c>
      <c r="AE28" s="8">
        <v>50813</v>
      </c>
      <c r="AF28" s="8">
        <f t="shared" si="2"/>
        <v>7064321.0930648129</v>
      </c>
    </row>
    <row r="29" spans="1:32" x14ac:dyDescent="0.25">
      <c r="A29" s="5" t="s">
        <v>28</v>
      </c>
      <c r="B29" s="5" t="s">
        <v>233</v>
      </c>
      <c r="C29" s="8">
        <f t="shared" si="3"/>
        <v>0</v>
      </c>
      <c r="D29" s="8">
        <f t="shared" si="4"/>
        <v>0</v>
      </c>
      <c r="E29" s="8">
        <f t="shared" si="5"/>
        <v>213589.75</v>
      </c>
      <c r="F29" s="8">
        <f t="shared" si="6"/>
        <v>1293014.5852999999</v>
      </c>
      <c r="G29" s="8">
        <f t="shared" si="7"/>
        <v>755544.70032399008</v>
      </c>
      <c r="H29" s="8">
        <f t="shared" si="8"/>
        <v>1773272.0446216662</v>
      </c>
      <c r="I29" s="8"/>
      <c r="J29" s="8">
        <f>SUMIF(Vandværker!$G:$G,'Costdrivere 2025'!$A29&amp;"_1",Vandværker!$F:$F)</f>
        <v>0</v>
      </c>
      <c r="K29" s="8">
        <f>SUMIF(Vandværker!$G:$G,'Costdrivere 2025'!$A29&amp;"_2",Vandværker!$F:$F)</f>
        <v>0</v>
      </c>
      <c r="L29" s="8">
        <f>SUMIF(Vandværker!$G:$G,'Costdrivere 2025'!$A29&amp;"_3",Vandværker!$F:$F)</f>
        <v>0</v>
      </c>
      <c r="M29" s="8">
        <f>SUMIF(Vandværker!$G:$G,'Costdrivere 2025'!$A29&amp;"_4",Vandværker!$F:$F)</f>
        <v>0</v>
      </c>
      <c r="N29" s="8"/>
      <c r="O29" s="8"/>
      <c r="P29" s="8">
        <v>870</v>
      </c>
      <c r="Q29" s="8"/>
      <c r="R29" s="8">
        <v>85.79</v>
      </c>
      <c r="S29" s="8">
        <v>16.72</v>
      </c>
      <c r="T29" s="8"/>
      <c r="U29" s="8">
        <v>200</v>
      </c>
      <c r="V29" s="8">
        <v>5517</v>
      </c>
      <c r="W29" s="8">
        <v>1511070</v>
      </c>
      <c r="X29" s="8">
        <v>1511070</v>
      </c>
      <c r="Y29" s="8">
        <f t="shared" si="0"/>
        <v>0</v>
      </c>
      <c r="Z29" s="8">
        <v>19185</v>
      </c>
      <c r="AA29" s="8">
        <v>109.52510025249384</v>
      </c>
      <c r="AB29" s="8">
        <f t="shared" si="1"/>
        <v>0.17516532699602039</v>
      </c>
      <c r="AC29" s="8">
        <v>18673.515516682339</v>
      </c>
      <c r="AD29" s="8">
        <v>4892468.9649325656</v>
      </c>
      <c r="AE29" s="8">
        <v>29036</v>
      </c>
      <c r="AF29" s="8">
        <f t="shared" si="2"/>
        <v>4940178.4804492481</v>
      </c>
    </row>
    <row r="30" spans="1:32" x14ac:dyDescent="0.25">
      <c r="A30" s="5" t="s">
        <v>29</v>
      </c>
      <c r="B30" s="5" t="s">
        <v>234</v>
      </c>
      <c r="C30" s="8">
        <f t="shared" si="3"/>
        <v>68951.716931685689</v>
      </c>
      <c r="D30" s="8">
        <f t="shared" si="4"/>
        <v>462876.97279999999</v>
      </c>
      <c r="E30" s="8">
        <f t="shared" si="5"/>
        <v>104835.35</v>
      </c>
      <c r="F30" s="8">
        <f t="shared" si="6"/>
        <v>2479508.0631000004</v>
      </c>
      <c r="G30" s="8">
        <f t="shared" si="7"/>
        <v>1304947.0989011165</v>
      </c>
      <c r="H30" s="8">
        <f t="shared" si="8"/>
        <v>3372404.8612582702</v>
      </c>
      <c r="I30" s="8">
        <v>113374</v>
      </c>
      <c r="J30" s="8">
        <f>SUMIF(Vandværker!$G:$G,'Costdrivere 2025'!$A30&amp;"_1",Vandværker!$F:$F)</f>
        <v>0</v>
      </c>
      <c r="K30" s="8">
        <f>SUMIF(Vandværker!$G:$G,'Costdrivere 2025'!$A30&amp;"_2",Vandværker!$F:$F)</f>
        <v>0</v>
      </c>
      <c r="L30" s="8">
        <f>SUMIF(Vandværker!$G:$G,'Costdrivere 2025'!$A30&amp;"_3",Vandværker!$F:$F)</f>
        <v>92966</v>
      </c>
      <c r="M30" s="8">
        <f>SUMIF(Vandværker!$G:$G,'Costdrivere 2025'!$A30&amp;"_4",Vandværker!$F:$F)</f>
        <v>0</v>
      </c>
      <c r="N30" s="8"/>
      <c r="O30" s="8"/>
      <c r="P30" s="8">
        <v>200</v>
      </c>
      <c r="Q30" s="8"/>
      <c r="R30" s="8">
        <v>165.6</v>
      </c>
      <c r="S30" s="8">
        <v>32.93</v>
      </c>
      <c r="T30" s="8"/>
      <c r="U30" s="8">
        <v>224</v>
      </c>
      <c r="V30" s="8">
        <v>10090</v>
      </c>
      <c r="W30" s="8">
        <v>3091420</v>
      </c>
      <c r="X30" s="8">
        <v>3091420</v>
      </c>
      <c r="Y30" s="8">
        <f t="shared" si="0"/>
        <v>92966</v>
      </c>
      <c r="Z30" s="8">
        <v>29967</v>
      </c>
      <c r="AA30" s="8">
        <v>202.79599999999999</v>
      </c>
      <c r="AB30" s="8">
        <f t="shared" si="1"/>
        <v>0.1477691867689698</v>
      </c>
      <c r="AC30" s="8">
        <v>1129987.1147917451</v>
      </c>
      <c r="AD30" s="8">
        <v>8226685.7387705827</v>
      </c>
      <c r="AE30" s="8">
        <v>58072</v>
      </c>
      <c r="AF30" s="8">
        <f t="shared" si="2"/>
        <v>9414744.8535623271</v>
      </c>
    </row>
    <row r="31" spans="1:32" x14ac:dyDescent="0.25">
      <c r="A31" s="5" t="s">
        <v>30</v>
      </c>
      <c r="B31" s="5" t="s">
        <v>235</v>
      </c>
      <c r="C31" s="8">
        <f t="shared" si="3"/>
        <v>18807805.969082352</v>
      </c>
      <c r="D31" s="8">
        <f t="shared" si="4"/>
        <v>91125716.332800001</v>
      </c>
      <c r="E31" s="8">
        <f t="shared" si="5"/>
        <v>2738837.77</v>
      </c>
      <c r="F31" s="8">
        <f t="shared" si="6"/>
        <v>24370429.057200003</v>
      </c>
      <c r="G31" s="8">
        <f t="shared" si="7"/>
        <v>4193887.2691885028</v>
      </c>
      <c r="H31" s="8">
        <f t="shared" si="8"/>
        <v>42876890.966318958</v>
      </c>
      <c r="I31" s="8">
        <v>53094112</v>
      </c>
      <c r="J31" s="8">
        <f>SUMIF(Vandværker!$G:$G,'Costdrivere 2025'!$A31&amp;"_1",Vandværker!$F:$F)</f>
        <v>0</v>
      </c>
      <c r="K31" s="8">
        <f>SUMIF(Vandværker!$G:$G,'Costdrivere 2025'!$A31&amp;"_2",Vandværker!$F:$F)</f>
        <v>16404600</v>
      </c>
      <c r="L31" s="8">
        <f>SUMIF(Vandværker!$G:$G,'Costdrivere 2025'!$A31&amp;"_3",Vandværker!$F:$F)</f>
        <v>36927766</v>
      </c>
      <c r="M31" s="8">
        <f>SUMIF(Vandværker!$G:$G,'Costdrivere 2025'!$A31&amp;"_4",Vandværker!$F:$F)</f>
        <v>0</v>
      </c>
      <c r="N31" s="8"/>
      <c r="O31" s="8">
        <v>75</v>
      </c>
      <c r="P31" s="8">
        <v>2970</v>
      </c>
      <c r="Q31" s="8">
        <v>16047</v>
      </c>
      <c r="R31" s="8">
        <v>402.87</v>
      </c>
      <c r="S31" s="8">
        <v>234.86</v>
      </c>
      <c r="T31" s="8">
        <v>338.59</v>
      </c>
      <c r="U31" s="8">
        <v>2043</v>
      </c>
      <c r="V31" s="8">
        <v>36645</v>
      </c>
      <c r="W31" s="8">
        <v>52465337</v>
      </c>
      <c r="X31" s="8">
        <v>31567430</v>
      </c>
      <c r="Y31" s="8">
        <f t="shared" si="0"/>
        <v>53332366</v>
      </c>
      <c r="Z31" s="8">
        <v>441631</v>
      </c>
      <c r="AA31" s="8">
        <v>1087.6154631931533</v>
      </c>
      <c r="AB31" s="8">
        <f t="shared" si="1"/>
        <v>0.40605435923410482</v>
      </c>
      <c r="AC31" s="8">
        <v>68039583.388633639</v>
      </c>
      <c r="AD31" s="8">
        <v>77131755.503731549</v>
      </c>
      <c r="AE31" s="8">
        <v>1248850</v>
      </c>
      <c r="AF31" s="8">
        <f t="shared" si="2"/>
        <v>146420188.89236519</v>
      </c>
    </row>
    <row r="32" spans="1:32" x14ac:dyDescent="0.25">
      <c r="A32" s="5" t="s">
        <v>31</v>
      </c>
      <c r="B32" s="5" t="s">
        <v>236</v>
      </c>
      <c r="C32" s="8">
        <f t="shared" si="3"/>
        <v>175089.7489753894</v>
      </c>
      <c r="D32" s="8">
        <f t="shared" si="4"/>
        <v>658505.62699999998</v>
      </c>
      <c r="E32" s="8">
        <f t="shared" si="5"/>
        <v>202227.35</v>
      </c>
      <c r="F32" s="8">
        <f t="shared" si="6"/>
        <v>1618743.2486</v>
      </c>
      <c r="G32" s="8">
        <f t="shared" si="7"/>
        <v>953955.48586279608</v>
      </c>
      <c r="H32" s="8">
        <f t="shared" si="8"/>
        <v>2126338.7642185199</v>
      </c>
      <c r="I32" s="8">
        <v>314943</v>
      </c>
      <c r="J32" s="8">
        <f>SUMIF(Vandværker!$G:$G,'Costdrivere 2025'!$A32&amp;"_1",Vandværker!$F:$F)</f>
        <v>0</v>
      </c>
      <c r="K32" s="8">
        <f>SUMIF(Vandværker!$G:$G,'Costdrivere 2025'!$A32&amp;"_2",Vandværker!$F:$F)</f>
        <v>302392</v>
      </c>
      <c r="L32" s="8">
        <f>SUMIF(Vandværker!$G:$G,'Costdrivere 2025'!$A32&amp;"_3",Vandværker!$F:$F)</f>
        <v>0</v>
      </c>
      <c r="M32" s="8">
        <f>SUMIF(Vandværker!$G:$G,'Costdrivere 2025'!$A32&amp;"_4",Vandværker!$F:$F)</f>
        <v>0</v>
      </c>
      <c r="N32" s="8"/>
      <c r="O32" s="8"/>
      <c r="P32" s="8">
        <v>800</v>
      </c>
      <c r="Q32" s="8"/>
      <c r="R32" s="8">
        <v>96.19</v>
      </c>
      <c r="S32" s="8">
        <v>24.8</v>
      </c>
      <c r="T32" s="8">
        <v>0.11</v>
      </c>
      <c r="U32" s="8">
        <v>1</v>
      </c>
      <c r="V32" s="8">
        <v>7138</v>
      </c>
      <c r="W32" s="8">
        <v>1849689</v>
      </c>
      <c r="X32" s="8">
        <v>1849689</v>
      </c>
      <c r="Y32" s="8">
        <f t="shared" si="0"/>
        <v>302392</v>
      </c>
      <c r="Z32" s="8">
        <v>24963</v>
      </c>
      <c r="AA32" s="8">
        <v>121.36887031543154</v>
      </c>
      <c r="AB32" s="8">
        <f t="shared" si="1"/>
        <v>0.20567877030677167</v>
      </c>
      <c r="AC32" s="8">
        <v>671285.87988152681</v>
      </c>
      <c r="AD32" s="8">
        <v>4926507.8186310753</v>
      </c>
      <c r="AE32" s="8">
        <v>43554</v>
      </c>
      <c r="AF32" s="8">
        <f t="shared" si="2"/>
        <v>5641347.6985126026</v>
      </c>
    </row>
    <row r="33" spans="1:32" x14ac:dyDescent="0.25">
      <c r="A33" s="5" t="s">
        <v>32</v>
      </c>
      <c r="B33" s="5" t="s">
        <v>224</v>
      </c>
      <c r="C33" s="8">
        <f t="shared" si="3"/>
        <v>974340.05639804434</v>
      </c>
      <c r="D33" s="8">
        <f t="shared" si="4"/>
        <v>2774831.0203999998</v>
      </c>
      <c r="E33" s="8">
        <f t="shared" si="5"/>
        <v>87447.75</v>
      </c>
      <c r="F33" s="8">
        <f t="shared" si="6"/>
        <v>2304006.29</v>
      </c>
      <c r="G33" s="8">
        <f t="shared" si="7"/>
        <v>1160553.2440247671</v>
      </c>
      <c r="H33" s="8">
        <f t="shared" si="8"/>
        <v>2080082.2807422567</v>
      </c>
      <c r="I33" s="8">
        <v>2067862</v>
      </c>
      <c r="J33" s="8">
        <f>SUMIF(Vandværker!$G:$G,'Costdrivere 2025'!$A33&amp;"_1",Vandværker!$F:$F)</f>
        <v>0</v>
      </c>
      <c r="K33" s="8">
        <f>SUMIF(Vandværker!$G:$G,'Costdrivere 2025'!$A33&amp;"_2",Vandværker!$F:$F)</f>
        <v>2016571</v>
      </c>
      <c r="L33" s="8">
        <f>SUMIF(Vandværker!$G:$G,'Costdrivere 2025'!$A33&amp;"_3",Vandværker!$F:$F)</f>
        <v>0</v>
      </c>
      <c r="M33" s="8">
        <f>SUMIF(Vandværker!$G:$G,'Costdrivere 2025'!$A33&amp;"_4",Vandværker!$F:$F)</f>
        <v>0</v>
      </c>
      <c r="N33" s="8"/>
      <c r="O33" s="8">
        <v>1</v>
      </c>
      <c r="P33" s="8"/>
      <c r="Q33" s="8"/>
      <c r="R33" s="8">
        <v>130</v>
      </c>
      <c r="S33" s="8">
        <v>33</v>
      </c>
      <c r="T33" s="8"/>
      <c r="U33" s="8">
        <v>567</v>
      </c>
      <c r="V33" s="8">
        <v>8864</v>
      </c>
      <c r="W33" s="8">
        <v>1804936</v>
      </c>
      <c r="X33" s="8">
        <v>1804937</v>
      </c>
      <c r="Y33" s="8">
        <f t="shared" si="0"/>
        <v>2016571</v>
      </c>
      <c r="Z33" s="8">
        <v>22926</v>
      </c>
      <c r="AA33" s="8">
        <v>232.73013000000003</v>
      </c>
      <c r="AB33" s="8">
        <f t="shared" si="1"/>
        <v>9.8508946821797408E-2</v>
      </c>
      <c r="AC33" s="8">
        <v>2785017.2600270752</v>
      </c>
      <c r="AD33" s="8">
        <v>7830174.988702964</v>
      </c>
      <c r="AE33" s="8">
        <v>187108</v>
      </c>
      <c r="AF33" s="8">
        <f t="shared" si="2"/>
        <v>10802300.248730039</v>
      </c>
    </row>
    <row r="34" spans="1:32" x14ac:dyDescent="0.25">
      <c r="A34" s="5" t="s">
        <v>33</v>
      </c>
      <c r="B34" s="5" t="s">
        <v>237</v>
      </c>
      <c r="C34" s="8">
        <f t="shared" si="3"/>
        <v>2068698.3831222521</v>
      </c>
      <c r="D34" s="8">
        <f t="shared" si="4"/>
        <v>5966717.7109999992</v>
      </c>
      <c r="E34" s="8">
        <f t="shared" si="5"/>
        <v>643871.07000000007</v>
      </c>
      <c r="F34" s="8">
        <f t="shared" si="6"/>
        <v>4745549.3109999998</v>
      </c>
      <c r="G34" s="8">
        <f t="shared" si="7"/>
        <v>2190572.6834863345</v>
      </c>
      <c r="H34" s="8">
        <f t="shared" si="8"/>
        <v>4475415.1194175826</v>
      </c>
      <c r="I34" s="8">
        <v>4720850</v>
      </c>
      <c r="J34" s="8">
        <f>SUMIF(Vandværker!$G:$G,'Costdrivere 2025'!$A34&amp;"_1",Vandværker!$F:$F)</f>
        <v>0</v>
      </c>
      <c r="K34" s="8">
        <f>SUMIF(Vandværker!$G:$G,'Costdrivere 2025'!$A34&amp;"_2",Vandværker!$F:$F)</f>
        <v>4601932</v>
      </c>
      <c r="L34" s="8">
        <f>SUMIF(Vandværker!$G:$G,'Costdrivere 2025'!$A34&amp;"_3",Vandværker!$F:$F)</f>
        <v>0</v>
      </c>
      <c r="M34" s="8">
        <f>SUMIF(Vandværker!$G:$G,'Costdrivere 2025'!$A34&amp;"_4",Vandværker!$F:$F)</f>
        <v>0</v>
      </c>
      <c r="N34" s="8">
        <v>6</v>
      </c>
      <c r="O34" s="8">
        <v>8</v>
      </c>
      <c r="P34" s="8">
        <v>1710</v>
      </c>
      <c r="Q34" s="8">
        <v>1262</v>
      </c>
      <c r="R34" s="8">
        <v>300.63</v>
      </c>
      <c r="S34" s="8">
        <v>61.11</v>
      </c>
      <c r="T34" s="8"/>
      <c r="U34" s="8">
        <v>1195</v>
      </c>
      <c r="V34" s="8">
        <v>17882</v>
      </c>
      <c r="W34" s="8">
        <v>4236533</v>
      </c>
      <c r="X34" s="8">
        <v>4236533</v>
      </c>
      <c r="Y34" s="8">
        <f t="shared" si="0"/>
        <v>4601932</v>
      </c>
      <c r="Z34" s="8">
        <v>39904</v>
      </c>
      <c r="AA34" s="8">
        <v>515.53957000000003</v>
      </c>
      <c r="AB34" s="8">
        <f t="shared" si="1"/>
        <v>7.740239997484577E-2</v>
      </c>
      <c r="AC34" s="8">
        <v>5410781.0412442684</v>
      </c>
      <c r="AD34" s="8">
        <v>16437359.191029556</v>
      </c>
      <c r="AE34" s="8">
        <v>427000</v>
      </c>
      <c r="AF34" s="8">
        <f t="shared" si="2"/>
        <v>22275140.232273825</v>
      </c>
    </row>
    <row r="35" spans="1:32" x14ac:dyDescent="0.25">
      <c r="A35" s="5" t="s">
        <v>34</v>
      </c>
      <c r="B35" s="5" t="s">
        <v>499</v>
      </c>
      <c r="C35" s="8">
        <f t="shared" si="3"/>
        <v>326112.75951975095</v>
      </c>
      <c r="D35" s="8">
        <f t="shared" si="4"/>
        <v>1024185.5048</v>
      </c>
      <c r="E35" s="8">
        <f t="shared" si="5"/>
        <v>308993.37</v>
      </c>
      <c r="F35" s="8">
        <f t="shared" si="6"/>
        <v>2476295.3086000001</v>
      </c>
      <c r="G35" s="8">
        <f t="shared" si="7"/>
        <v>1187778.8919788345</v>
      </c>
      <c r="H35" s="8">
        <f t="shared" si="8"/>
        <v>2699631.1308715916</v>
      </c>
      <c r="I35" s="8">
        <v>622830</v>
      </c>
      <c r="J35" s="8">
        <f>SUMIF(Vandværker!$G:$G,'Costdrivere 2025'!$A35&amp;"_1",Vandværker!$F:$F)</f>
        <v>0</v>
      </c>
      <c r="K35" s="8">
        <f>SUMIF(Vandværker!$G:$G,'Costdrivere 2025'!$A35&amp;"_2",Vandværker!$F:$F)</f>
        <v>598585</v>
      </c>
      <c r="L35" s="8">
        <f>SUMIF(Vandværker!$G:$G,'Costdrivere 2025'!$A35&amp;"_3",Vandværker!$F:$F)</f>
        <v>0</v>
      </c>
      <c r="M35" s="8">
        <f>SUMIF(Vandværker!$G:$G,'Costdrivere 2025'!$A35&amp;"_4",Vandværker!$F:$F)</f>
        <v>0</v>
      </c>
      <c r="N35" s="8">
        <v>1</v>
      </c>
      <c r="O35" s="8">
        <v>1</v>
      </c>
      <c r="P35" s="8">
        <v>376</v>
      </c>
      <c r="Q35" s="8">
        <v>2215</v>
      </c>
      <c r="R35" s="8">
        <v>147.19999999999999</v>
      </c>
      <c r="S35" s="8">
        <v>35.78</v>
      </c>
      <c r="T35" s="8"/>
      <c r="U35" s="8">
        <v>341</v>
      </c>
      <c r="V35" s="8">
        <v>9094</v>
      </c>
      <c r="W35" s="8">
        <v>2412939</v>
      </c>
      <c r="X35" s="8">
        <v>2381742</v>
      </c>
      <c r="Y35" s="8">
        <f t="shared" ref="Y35:Y66" si="9">SUM(J35:M35)</f>
        <v>598585</v>
      </c>
      <c r="Z35" s="8">
        <v>29272</v>
      </c>
      <c r="AA35" s="8">
        <v>215.43510000000003</v>
      </c>
      <c r="AB35" s="8">
        <f t="shared" ref="AB35:AB66" si="10">IF(AA35&gt;0,Z35/AA35/1000,0)</f>
        <v>0.13587386642195259</v>
      </c>
      <c r="AC35" s="8">
        <v>476560.3430477982</v>
      </c>
      <c r="AD35" s="8">
        <v>8302766.9152832273</v>
      </c>
      <c r="AE35" s="8">
        <v>385331</v>
      </c>
      <c r="AF35" s="8">
        <f t="shared" ref="AF35:AF66" si="11">SUM(AC35:AE35)</f>
        <v>9164658.258331025</v>
      </c>
    </row>
    <row r="36" spans="1:32" x14ac:dyDescent="0.25">
      <c r="A36" s="5" t="s">
        <v>35</v>
      </c>
      <c r="B36" s="5" t="s">
        <v>582</v>
      </c>
      <c r="C36" s="8">
        <f t="shared" si="3"/>
        <v>0</v>
      </c>
      <c r="D36" s="8">
        <f t="shared" si="4"/>
        <v>0</v>
      </c>
      <c r="E36" s="8">
        <f t="shared" si="5"/>
        <v>104835.35</v>
      </c>
      <c r="F36" s="8">
        <f t="shared" si="6"/>
        <v>1218152.747</v>
      </c>
      <c r="G36" s="8">
        <f t="shared" si="7"/>
        <v>973773.98027652199</v>
      </c>
      <c r="H36" s="8">
        <f t="shared" si="8"/>
        <v>1498707.9776389669</v>
      </c>
      <c r="I36" s="8"/>
      <c r="J36" s="8">
        <f>SUMIF(Vandværker!$G:$G,'Costdrivere 2025'!$A36&amp;"_1",Vandværker!$F:$F)</f>
        <v>0</v>
      </c>
      <c r="K36" s="8">
        <f>SUMIF(Vandværker!$G:$G,'Costdrivere 2025'!$A36&amp;"_2",Vandværker!$F:$F)</f>
        <v>0</v>
      </c>
      <c r="L36" s="8">
        <f>SUMIF(Vandværker!$G:$G,'Costdrivere 2025'!$A36&amp;"_3",Vandværker!$F:$F)</f>
        <v>0</v>
      </c>
      <c r="M36" s="8">
        <f>SUMIF(Vandværker!$G:$G,'Costdrivere 2025'!$A36&amp;"_4",Vandværker!$F:$F)</f>
        <v>0</v>
      </c>
      <c r="N36" s="8"/>
      <c r="O36" s="8"/>
      <c r="P36" s="8">
        <v>200</v>
      </c>
      <c r="Q36" s="8"/>
      <c r="R36" s="8">
        <v>115.6</v>
      </c>
      <c r="S36" s="8">
        <v>9.3000000000000007</v>
      </c>
      <c r="T36" s="8"/>
      <c r="U36" s="8">
        <v>99</v>
      </c>
      <c r="V36" s="8">
        <v>7302</v>
      </c>
      <c r="W36" s="8">
        <v>1252933</v>
      </c>
      <c r="X36" s="8">
        <v>1252933</v>
      </c>
      <c r="Y36" s="8">
        <f t="shared" si="9"/>
        <v>0</v>
      </c>
      <c r="Z36" s="8">
        <v>14431</v>
      </c>
      <c r="AA36" s="8">
        <v>143.95755017656873</v>
      </c>
      <c r="AB36" s="8">
        <f t="shared" si="10"/>
        <v>0.10024482899507457</v>
      </c>
      <c r="AC36" s="8">
        <v>225364.04278193839</v>
      </c>
      <c r="AD36" s="8">
        <v>5052989.8251452269</v>
      </c>
      <c r="AE36" s="8">
        <v>441822.40199999994</v>
      </c>
      <c r="AF36" s="8">
        <f t="shared" si="11"/>
        <v>5720176.2699271655</v>
      </c>
    </row>
    <row r="37" spans="1:32" x14ac:dyDescent="0.25">
      <c r="A37" s="5" t="s">
        <v>37</v>
      </c>
      <c r="B37" s="5" t="s">
        <v>692</v>
      </c>
      <c r="C37" s="8">
        <f t="shared" si="3"/>
        <v>491123.28412227484</v>
      </c>
      <c r="D37" s="8">
        <f t="shared" si="4"/>
        <v>1409352.3089999999</v>
      </c>
      <c r="E37" s="8">
        <f t="shared" si="5"/>
        <v>141920.15000000002</v>
      </c>
      <c r="F37" s="8">
        <f t="shared" si="6"/>
        <v>1360482.2777</v>
      </c>
      <c r="G37" s="8">
        <f t="shared" si="7"/>
        <v>997645.1099539561</v>
      </c>
      <c r="H37" s="8">
        <f t="shared" si="8"/>
        <v>1085869.6577098607</v>
      </c>
      <c r="I37" s="8">
        <v>975729</v>
      </c>
      <c r="J37" s="8">
        <f>SUMIF(Vandværker!$G:$G,'Costdrivere 2025'!$A37&amp;"_1",Vandværker!$F:$F)</f>
        <v>0</v>
      </c>
      <c r="K37" s="8">
        <f>SUMIF(Vandværker!$G:$G,'Costdrivere 2025'!$A37&amp;"_2",Vandværker!$F:$F)</f>
        <v>910562</v>
      </c>
      <c r="L37" s="8">
        <f>SUMIF(Vandværker!$G:$G,'Costdrivere 2025'!$A37&amp;"_3",Vandværker!$F:$F)</f>
        <v>0</v>
      </c>
      <c r="M37" s="8">
        <f>SUMIF(Vandværker!$G:$G,'Costdrivere 2025'!$A37&amp;"_4",Vandværker!$F:$F)</f>
        <v>0</v>
      </c>
      <c r="N37" s="8">
        <v>2</v>
      </c>
      <c r="O37" s="8"/>
      <c r="P37" s="8"/>
      <c r="Q37" s="8">
        <v>600</v>
      </c>
      <c r="R37" s="8">
        <v>136</v>
      </c>
      <c r="S37" s="8">
        <v>6.91</v>
      </c>
      <c r="T37" s="8"/>
      <c r="U37" s="8">
        <v>415</v>
      </c>
      <c r="V37" s="8">
        <v>7500</v>
      </c>
      <c r="W37" s="8">
        <v>875172</v>
      </c>
      <c r="X37" s="8">
        <v>875172</v>
      </c>
      <c r="Y37" s="8">
        <f t="shared" si="9"/>
        <v>910562</v>
      </c>
      <c r="Z37" s="8">
        <v>7533</v>
      </c>
      <c r="AA37" s="8">
        <v>221.501</v>
      </c>
      <c r="AB37" s="8">
        <f t="shared" si="10"/>
        <v>3.4008875806429764E-2</v>
      </c>
      <c r="AC37" s="8">
        <v>1566769.2908805956</v>
      </c>
      <c r="AD37" s="8">
        <v>6451393.8555000005</v>
      </c>
      <c r="AE37" s="8">
        <v>150000</v>
      </c>
      <c r="AF37" s="8">
        <f t="shared" si="11"/>
        <v>8168163.1463805959</v>
      </c>
    </row>
    <row r="38" spans="1:32" x14ac:dyDescent="0.25">
      <c r="A38" s="5" t="s">
        <v>38</v>
      </c>
      <c r="B38" s="5" t="s">
        <v>502</v>
      </c>
      <c r="C38" s="8">
        <f t="shared" si="3"/>
        <v>368885.73636687483</v>
      </c>
      <c r="D38" s="8">
        <f t="shared" si="4"/>
        <v>1147166.48</v>
      </c>
      <c r="E38" s="8">
        <f t="shared" si="5"/>
        <v>147753.35</v>
      </c>
      <c r="F38" s="8">
        <f t="shared" si="6"/>
        <v>1053212.7813000001</v>
      </c>
      <c r="G38" s="8">
        <f t="shared" si="7"/>
        <v>558482.83013280912</v>
      </c>
      <c r="H38" s="8">
        <f t="shared" si="8"/>
        <v>1320180.394182483</v>
      </c>
      <c r="I38" s="8">
        <v>712938</v>
      </c>
      <c r="J38" s="8">
        <f>SUMIF(Vandværker!$G:$G,'Costdrivere 2025'!$A38&amp;"_1",Vandværker!$F:$F)</f>
        <v>0</v>
      </c>
      <c r="K38" s="8">
        <f>SUMIF(Vandværker!$G:$G,'Costdrivere 2025'!$A38&amp;"_2",Vandværker!$F:$F)</f>
        <v>698197</v>
      </c>
      <c r="L38" s="8">
        <f>SUMIF(Vandværker!$G:$G,'Costdrivere 2025'!$A38&amp;"_3",Vandværker!$F:$F)</f>
        <v>0</v>
      </c>
      <c r="M38" s="8">
        <f>SUMIF(Vandværker!$G:$G,'Costdrivere 2025'!$A38&amp;"_4",Vandværker!$F:$F)</f>
        <v>0</v>
      </c>
      <c r="N38" s="8">
        <v>3</v>
      </c>
      <c r="O38" s="8">
        <v>2</v>
      </c>
      <c r="P38" s="8"/>
      <c r="Q38" s="8"/>
      <c r="R38" s="8">
        <v>68.849999999999994</v>
      </c>
      <c r="S38" s="8">
        <v>11.74</v>
      </c>
      <c r="T38" s="8"/>
      <c r="U38" s="8">
        <v>469</v>
      </c>
      <c r="V38" s="8">
        <v>3951</v>
      </c>
      <c r="W38" s="8">
        <v>1087896</v>
      </c>
      <c r="X38" s="8">
        <v>1087896</v>
      </c>
      <c r="Y38" s="8">
        <f t="shared" si="9"/>
        <v>698197</v>
      </c>
      <c r="Z38" s="8">
        <v>13179</v>
      </c>
      <c r="AA38" s="8">
        <v>99.781999999999996</v>
      </c>
      <c r="AB38" s="8">
        <f t="shared" si="10"/>
        <v>0.132077929887154</v>
      </c>
      <c r="AC38" s="8">
        <v>684344.74604344158</v>
      </c>
      <c r="AD38" s="8">
        <v>4358510.173163604</v>
      </c>
      <c r="AE38" s="8">
        <v>145000</v>
      </c>
      <c r="AF38" s="8">
        <f t="shared" si="11"/>
        <v>5187854.9192070458</v>
      </c>
    </row>
    <row r="39" spans="1:32" x14ac:dyDescent="0.25">
      <c r="A39" s="5" t="s">
        <v>39</v>
      </c>
      <c r="B39" s="5" t="s">
        <v>238</v>
      </c>
      <c r="C39" s="8">
        <f t="shared" si="3"/>
        <v>0</v>
      </c>
      <c r="D39" s="8">
        <f t="shared" si="4"/>
        <v>6101642.4245999996</v>
      </c>
      <c r="E39" s="8">
        <f t="shared" si="5"/>
        <v>151163.35</v>
      </c>
      <c r="F39" s="8">
        <f t="shared" si="6"/>
        <v>90220.34199999999</v>
      </c>
      <c r="G39" s="8">
        <f t="shared" si="7"/>
        <v>2491.555826497934</v>
      </c>
      <c r="H39" s="8">
        <f t="shared" si="8"/>
        <v>4020888.3247190285</v>
      </c>
      <c r="I39" s="8"/>
      <c r="J39" s="8">
        <f>SUMIF(Vandværker!$G:$G,'Costdrivere 2025'!$A39&amp;"_1",Vandværker!$F:$F)</f>
        <v>2547433</v>
      </c>
      <c r="K39" s="8">
        <f>SUMIF(Vandværker!$G:$G,'Costdrivere 2025'!$A39&amp;"_2",Vandværker!$F:$F)</f>
        <v>0</v>
      </c>
      <c r="L39" s="8">
        <f>SUMIF(Vandværker!$G:$G,'Costdrivere 2025'!$A39&amp;"_3",Vandværker!$F:$F)</f>
        <v>1397546</v>
      </c>
      <c r="M39" s="8">
        <f>SUMIF(Vandværker!$G:$G,'Costdrivere 2025'!$A39&amp;"_4",Vandværker!$F:$F)</f>
        <v>0</v>
      </c>
      <c r="N39" s="8"/>
      <c r="O39" s="8"/>
      <c r="P39" s="8"/>
      <c r="Q39" s="8">
        <v>1200</v>
      </c>
      <c r="R39" s="8">
        <v>12.2</v>
      </c>
      <c r="S39" s="8"/>
      <c r="T39" s="8"/>
      <c r="U39" s="8"/>
      <c r="V39" s="8">
        <v>10</v>
      </c>
      <c r="W39" s="8">
        <v>3760246</v>
      </c>
      <c r="X39" s="8">
        <v>3760247</v>
      </c>
      <c r="Y39" s="8">
        <f t="shared" si="9"/>
        <v>3944979</v>
      </c>
      <c r="Z39" s="8">
        <v>10</v>
      </c>
      <c r="AA39" s="8">
        <v>26.503599999999999</v>
      </c>
      <c r="AB39" s="8">
        <f t="shared" si="10"/>
        <v>3.7730723373428514E-4</v>
      </c>
      <c r="AC39" s="8">
        <v>1640468.511629581</v>
      </c>
      <c r="AD39" s="8">
        <v>1019935.1753390498</v>
      </c>
      <c r="AE39" s="8">
        <v>81295</v>
      </c>
      <c r="AF39" s="8">
        <f t="shared" si="11"/>
        <v>2741698.6869686306</v>
      </c>
    </row>
    <row r="40" spans="1:32" x14ac:dyDescent="0.25">
      <c r="A40" s="5" t="s">
        <v>40</v>
      </c>
      <c r="B40" s="5" t="s">
        <v>225</v>
      </c>
      <c r="C40" s="8">
        <f t="shared" si="3"/>
        <v>1069720.7441870747</v>
      </c>
      <c r="D40" s="8">
        <f t="shared" si="4"/>
        <v>4621776.3514999999</v>
      </c>
      <c r="E40" s="8">
        <f t="shared" si="5"/>
        <v>182690.87</v>
      </c>
      <c r="F40" s="8">
        <f t="shared" si="6"/>
        <v>1923972.0449999999</v>
      </c>
      <c r="G40" s="8">
        <f t="shared" si="7"/>
        <v>915888.78633989638</v>
      </c>
      <c r="H40" s="8">
        <f t="shared" si="8"/>
        <v>3835470.044707852</v>
      </c>
      <c r="I40" s="8">
        <v>2290816</v>
      </c>
      <c r="J40" s="8">
        <f>SUMIF(Vandværker!$G:$G,'Costdrivere 2025'!$A40&amp;"_1",Vandværker!$F:$F)</f>
        <v>584000</v>
      </c>
      <c r="K40" s="8">
        <f>SUMIF(Vandværker!$G:$G,'Costdrivere 2025'!$A40&amp;"_2",Vandværker!$F:$F)</f>
        <v>2897662</v>
      </c>
      <c r="L40" s="8">
        <f>SUMIF(Vandværker!$G:$G,'Costdrivere 2025'!$A40&amp;"_3",Vandværker!$F:$F)</f>
        <v>19955</v>
      </c>
      <c r="M40" s="8">
        <f>SUMIF(Vandværker!$G:$G,'Costdrivere 2025'!$A40&amp;"_4",Vandværker!$F:$F)</f>
        <v>0</v>
      </c>
      <c r="N40" s="8">
        <v>1</v>
      </c>
      <c r="O40" s="8">
        <v>2</v>
      </c>
      <c r="P40" s="8">
        <v>401</v>
      </c>
      <c r="Q40" s="8"/>
      <c r="R40" s="8">
        <v>164.4</v>
      </c>
      <c r="S40" s="8">
        <v>8.3000000000000007</v>
      </c>
      <c r="T40" s="8"/>
      <c r="U40" s="8">
        <v>1634</v>
      </c>
      <c r="V40" s="8">
        <v>6824</v>
      </c>
      <c r="W40" s="8">
        <v>3567664</v>
      </c>
      <c r="X40" s="8">
        <v>3567403</v>
      </c>
      <c r="Y40" s="8">
        <f t="shared" si="9"/>
        <v>3501617</v>
      </c>
      <c r="Z40" s="8">
        <v>11125</v>
      </c>
      <c r="AA40" s="8">
        <v>403.53437772284821</v>
      </c>
      <c r="AB40" s="8">
        <f t="shared" si="10"/>
        <v>2.7568902711036857E-2</v>
      </c>
      <c r="AC40" s="8">
        <v>2996333.104047847</v>
      </c>
      <c r="AD40" s="8">
        <v>10167227.012626123</v>
      </c>
      <c r="AE40" s="8">
        <v>1816806</v>
      </c>
      <c r="AF40" s="8">
        <f t="shared" si="11"/>
        <v>14980366.116673969</v>
      </c>
    </row>
    <row r="41" spans="1:32" x14ac:dyDescent="0.25">
      <c r="A41" s="5" t="s">
        <v>41</v>
      </c>
      <c r="B41" s="5" t="s">
        <v>583</v>
      </c>
      <c r="C41" s="8">
        <f t="shared" si="3"/>
        <v>351925.44233967259</v>
      </c>
      <c r="D41" s="8">
        <f t="shared" si="4"/>
        <v>1500047.2596</v>
      </c>
      <c r="E41" s="8">
        <f t="shared" si="5"/>
        <v>260163.67</v>
      </c>
      <c r="F41" s="8">
        <f t="shared" si="6"/>
        <v>1654472.1125999999</v>
      </c>
      <c r="G41" s="8">
        <f t="shared" si="7"/>
        <v>1089567.0865617904</v>
      </c>
      <c r="H41" s="8">
        <f t="shared" si="8"/>
        <v>1091177.3184480576</v>
      </c>
      <c r="I41" s="8">
        <v>677081</v>
      </c>
      <c r="J41" s="8">
        <f>SUMIF(Vandværker!$G:$G,'Costdrivere 2025'!$A41&amp;"_1",Vandværker!$F:$F)</f>
        <v>318739</v>
      </c>
      <c r="K41" s="8">
        <f>SUMIF(Vandværker!$G:$G,'Costdrivere 2025'!$A41&amp;"_2",Vandværker!$F:$F)</f>
        <v>665284</v>
      </c>
      <c r="L41" s="8">
        <f>SUMIF(Vandværker!$G:$G,'Costdrivere 2025'!$A41&amp;"_3",Vandværker!$F:$F)</f>
        <v>0</v>
      </c>
      <c r="M41" s="8">
        <f>SUMIF(Vandværker!$G:$G,'Costdrivere 2025'!$A41&amp;"_4",Vandværker!$F:$F)</f>
        <v>0</v>
      </c>
      <c r="N41" s="8">
        <v>3</v>
      </c>
      <c r="O41" s="8">
        <v>6</v>
      </c>
      <c r="P41" s="8">
        <v>321</v>
      </c>
      <c r="Q41" s="8"/>
      <c r="R41" s="8">
        <v>142.66</v>
      </c>
      <c r="S41" s="8"/>
      <c r="T41" s="8"/>
      <c r="U41" s="8">
        <v>2413</v>
      </c>
      <c r="V41" s="8">
        <v>8267</v>
      </c>
      <c r="W41" s="8">
        <v>879937</v>
      </c>
      <c r="X41" s="8">
        <v>825140</v>
      </c>
      <c r="Y41" s="8">
        <f t="shared" si="9"/>
        <v>984023</v>
      </c>
      <c r="Z41" s="8">
        <v>9556</v>
      </c>
      <c r="AA41" s="8">
        <v>283.38224793999979</v>
      </c>
      <c r="AB41" s="8">
        <f t="shared" si="10"/>
        <v>3.372123719628084E-2</v>
      </c>
      <c r="AC41" s="8">
        <v>1645660.1199031118</v>
      </c>
      <c r="AD41" s="8">
        <v>7480124.4483143324</v>
      </c>
      <c r="AE41" s="8">
        <v>385200</v>
      </c>
      <c r="AF41" s="8">
        <f t="shared" si="11"/>
        <v>9510984.5682174452</v>
      </c>
    </row>
    <row r="42" spans="1:32" x14ac:dyDescent="0.25">
      <c r="A42" s="5" t="s">
        <v>42</v>
      </c>
      <c r="B42" s="5" t="s">
        <v>239</v>
      </c>
      <c r="C42" s="8">
        <f t="shared" si="3"/>
        <v>848861.55531633797</v>
      </c>
      <c r="D42" s="8">
        <f t="shared" si="4"/>
        <v>2462366.1063999999</v>
      </c>
      <c r="E42" s="8">
        <f t="shared" si="5"/>
        <v>243301.75</v>
      </c>
      <c r="F42" s="8">
        <f t="shared" si="6"/>
        <v>1905510.3898999998</v>
      </c>
      <c r="G42" s="8">
        <f t="shared" si="7"/>
        <v>1143829.7034671505</v>
      </c>
      <c r="H42" s="8">
        <f t="shared" si="8"/>
        <v>1857786.3435677676</v>
      </c>
      <c r="I42" s="8">
        <v>1777779</v>
      </c>
      <c r="J42" s="8">
        <f>SUMIF(Vandværker!$G:$G,'Costdrivere 2025'!$A42&amp;"_1",Vandværker!$F:$F)</f>
        <v>0</v>
      </c>
      <c r="K42" s="8">
        <f>SUMIF(Vandværker!$G:$G,'Costdrivere 2025'!$A42&amp;"_2",Vandværker!$F:$F)</f>
        <v>1763481</v>
      </c>
      <c r="L42" s="8">
        <f>SUMIF(Vandværker!$G:$G,'Costdrivere 2025'!$A42&amp;"_3",Vandværker!$F:$F)</f>
        <v>0</v>
      </c>
      <c r="M42" s="8">
        <f>SUMIF(Vandværker!$G:$G,'Costdrivere 2025'!$A42&amp;"_4",Vandværker!$F:$F)</f>
        <v>0</v>
      </c>
      <c r="N42" s="8">
        <v>5</v>
      </c>
      <c r="O42" s="8">
        <v>3</v>
      </c>
      <c r="P42" s="8">
        <v>310</v>
      </c>
      <c r="Q42" s="8"/>
      <c r="R42" s="8">
        <v>142.82</v>
      </c>
      <c r="S42" s="8">
        <v>17.510000000000002</v>
      </c>
      <c r="T42" s="8"/>
      <c r="U42" s="8">
        <v>852</v>
      </c>
      <c r="V42" s="8">
        <v>8723</v>
      </c>
      <c r="W42" s="8">
        <v>1591482</v>
      </c>
      <c r="X42" s="8">
        <v>1591482</v>
      </c>
      <c r="Y42" s="8">
        <f t="shared" si="9"/>
        <v>1763481</v>
      </c>
      <c r="Z42" s="8">
        <v>19496</v>
      </c>
      <c r="AA42" s="8">
        <v>247.874</v>
      </c>
      <c r="AB42" s="8">
        <f t="shared" si="10"/>
        <v>7.8652863955073954E-2</v>
      </c>
      <c r="AC42" s="8">
        <v>2219553.9683595011</v>
      </c>
      <c r="AD42" s="8">
        <v>10355145.241243672</v>
      </c>
      <c r="AE42" s="8">
        <v>569432.15719112335</v>
      </c>
      <c r="AF42" s="8">
        <f t="shared" si="11"/>
        <v>13144131.366794296</v>
      </c>
    </row>
    <row r="43" spans="1:32" x14ac:dyDescent="0.25">
      <c r="A43" s="5" t="s">
        <v>43</v>
      </c>
      <c r="B43" s="5" t="s">
        <v>287</v>
      </c>
      <c r="C43" s="8">
        <f t="shared" si="3"/>
        <v>929477.32274133398</v>
      </c>
      <c r="D43" s="8">
        <f t="shared" si="4"/>
        <v>2684584.2295999997</v>
      </c>
      <c r="E43" s="8">
        <f t="shared" si="5"/>
        <v>557568.14999999991</v>
      </c>
      <c r="F43" s="8">
        <f t="shared" si="6"/>
        <v>2456884.9550000001</v>
      </c>
      <c r="G43" s="8">
        <f t="shared" si="7"/>
        <v>1290070.2747017613</v>
      </c>
      <c r="H43" s="8">
        <f t="shared" si="8"/>
        <v>2126787.8136263127</v>
      </c>
      <c r="I43" s="8">
        <v>1963708</v>
      </c>
      <c r="J43" s="8">
        <f>SUMIF(Vandværker!$G:$G,'Costdrivere 2025'!$A43&amp;"_1",Vandværker!$F:$F)</f>
        <v>0</v>
      </c>
      <c r="K43" s="8">
        <f>SUMIF(Vandværker!$G:$G,'Costdrivere 2025'!$A43&amp;"_2",Vandværker!$F:$F)</f>
        <v>1943473</v>
      </c>
      <c r="L43" s="8">
        <f>SUMIF(Vandværker!$G:$G,'Costdrivere 2025'!$A43&amp;"_3",Vandværker!$F:$F)</f>
        <v>0</v>
      </c>
      <c r="M43" s="8">
        <f>SUMIF(Vandværker!$G:$G,'Costdrivere 2025'!$A43&amp;"_4",Vandværker!$F:$F)</f>
        <v>0</v>
      </c>
      <c r="N43" s="8">
        <v>13</v>
      </c>
      <c r="O43" s="8">
        <v>11</v>
      </c>
      <c r="P43" s="8">
        <v>760</v>
      </c>
      <c r="Q43" s="8"/>
      <c r="R43" s="8">
        <v>208.5</v>
      </c>
      <c r="S43" s="8"/>
      <c r="T43" s="8"/>
      <c r="U43" s="8">
        <v>3683</v>
      </c>
      <c r="V43" s="8">
        <v>9963</v>
      </c>
      <c r="W43" s="8">
        <v>1850124</v>
      </c>
      <c r="X43" s="8">
        <v>1850124</v>
      </c>
      <c r="Y43" s="8">
        <f t="shared" si="9"/>
        <v>1943473</v>
      </c>
      <c r="Z43" s="8">
        <v>11878</v>
      </c>
      <c r="AA43" s="8">
        <v>807.15090999999995</v>
      </c>
      <c r="AB43" s="8">
        <f t="shared" si="10"/>
        <v>1.4715959373693825E-2</v>
      </c>
      <c r="AC43" s="8">
        <v>2538484.4199162927</v>
      </c>
      <c r="AD43" s="8">
        <v>15153384.076810198</v>
      </c>
      <c r="AE43" s="8">
        <v>185000</v>
      </c>
      <c r="AF43" s="8">
        <f t="shared" si="11"/>
        <v>17876868.496726491</v>
      </c>
    </row>
    <row r="44" spans="1:32" x14ac:dyDescent="0.25">
      <c r="A44" s="5" t="s">
        <v>44</v>
      </c>
      <c r="B44" s="5" t="s">
        <v>240</v>
      </c>
      <c r="C44" s="8">
        <f t="shared" si="3"/>
        <v>874308.75658882258</v>
      </c>
      <c r="D44" s="8">
        <f t="shared" si="4"/>
        <v>2487945.7837999999</v>
      </c>
      <c r="E44" s="8">
        <f t="shared" si="5"/>
        <v>269377.19</v>
      </c>
      <c r="F44" s="8">
        <f t="shared" si="6"/>
        <v>3244042.3612000002</v>
      </c>
      <c r="G44" s="8">
        <f t="shared" si="7"/>
        <v>1974744.8753880374</v>
      </c>
      <c r="H44" s="8">
        <f t="shared" si="8"/>
        <v>1979935.3082003028</v>
      </c>
      <c r="I44" s="8">
        <v>1836293</v>
      </c>
      <c r="J44" s="8">
        <f>SUMIF(Vandværker!$G:$G,'Costdrivere 2025'!$A44&amp;"_1",Vandværker!$F:$F)</f>
        <v>0</v>
      </c>
      <c r="K44" s="8">
        <f>SUMIF(Vandværker!$G:$G,'Costdrivere 2025'!$A44&amp;"_2",Vandværker!$F:$F)</f>
        <v>1784200</v>
      </c>
      <c r="L44" s="8">
        <f>SUMIF(Vandværker!$G:$G,'Costdrivere 2025'!$A44&amp;"_3",Vandværker!$F:$F)</f>
        <v>0</v>
      </c>
      <c r="M44" s="8">
        <f>SUMIF(Vandværker!$G:$G,'Costdrivere 2025'!$A44&amp;"_4",Vandværker!$F:$F)</f>
        <v>0</v>
      </c>
      <c r="N44" s="8">
        <v>6</v>
      </c>
      <c r="O44" s="8">
        <v>5</v>
      </c>
      <c r="P44" s="8">
        <v>192</v>
      </c>
      <c r="Q44" s="8"/>
      <c r="R44" s="8">
        <v>215.07</v>
      </c>
      <c r="S44" s="8">
        <v>6.05</v>
      </c>
      <c r="T44" s="8"/>
      <c r="U44" s="8">
        <v>5769</v>
      </c>
      <c r="V44" s="8">
        <v>15946</v>
      </c>
      <c r="W44" s="8">
        <v>1708434</v>
      </c>
      <c r="X44" s="8">
        <v>1708434</v>
      </c>
      <c r="Y44" s="8">
        <f t="shared" si="9"/>
        <v>1784200</v>
      </c>
      <c r="Z44" s="8">
        <v>16510</v>
      </c>
      <c r="AA44" s="8">
        <v>743.87300000000005</v>
      </c>
      <c r="AB44" s="8">
        <f t="shared" si="10"/>
        <v>2.2194648817741736E-2</v>
      </c>
      <c r="AC44" s="8">
        <v>4694890.2821279978</v>
      </c>
      <c r="AD44" s="8">
        <v>17349464.441094995</v>
      </c>
      <c r="AE44" s="8">
        <v>659223.46540233493</v>
      </c>
      <c r="AF44" s="8">
        <f t="shared" si="11"/>
        <v>22703578.188625328</v>
      </c>
    </row>
    <row r="45" spans="1:32" x14ac:dyDescent="0.25">
      <c r="A45" s="5" t="s">
        <v>45</v>
      </c>
      <c r="B45" s="5" t="s">
        <v>241</v>
      </c>
      <c r="C45" s="8">
        <f t="shared" si="3"/>
        <v>768231.13075847819</v>
      </c>
      <c r="D45" s="8">
        <f t="shared" si="4"/>
        <v>3300313.3073</v>
      </c>
      <c r="E45" s="8">
        <f t="shared" si="5"/>
        <v>166239.75</v>
      </c>
      <c r="F45" s="8">
        <f t="shared" si="6"/>
        <v>4713995.3999999994</v>
      </c>
      <c r="G45" s="8">
        <f t="shared" si="7"/>
        <v>1475795.0361934504</v>
      </c>
      <c r="H45" s="8">
        <f t="shared" si="8"/>
        <v>2963004.6007097121</v>
      </c>
      <c r="I45" s="8">
        <v>1593513</v>
      </c>
      <c r="J45" s="8">
        <f>SUMIF(Vandværker!$G:$G,'Costdrivere 2025'!$A45&amp;"_1",Vandværker!$F:$F)</f>
        <v>0</v>
      </c>
      <c r="K45" s="8">
        <f>SUMIF(Vandværker!$G:$G,'Costdrivere 2025'!$A45&amp;"_2",Vandværker!$F:$F)</f>
        <v>0</v>
      </c>
      <c r="L45" s="8">
        <f>SUMIF(Vandværker!$G:$G,'Costdrivere 2025'!$A45&amp;"_3",Vandværker!$F:$F)</f>
        <v>1577369</v>
      </c>
      <c r="M45" s="8">
        <f>SUMIF(Vandværker!$G:$G,'Costdrivere 2025'!$A45&amp;"_4",Vandværker!$F:$F)</f>
        <v>0</v>
      </c>
      <c r="N45" s="8"/>
      <c r="O45" s="8">
        <v>1</v>
      </c>
      <c r="P45" s="8"/>
      <c r="Q45" s="8">
        <v>1200</v>
      </c>
      <c r="R45" s="8">
        <v>171</v>
      </c>
      <c r="S45" s="8">
        <v>93</v>
      </c>
      <c r="T45" s="8"/>
      <c r="U45" s="8">
        <v>252</v>
      </c>
      <c r="V45" s="8">
        <v>11559</v>
      </c>
      <c r="W45" s="8">
        <v>2676494</v>
      </c>
      <c r="X45" s="8">
        <v>2676494</v>
      </c>
      <c r="Y45" s="8">
        <f t="shared" si="9"/>
        <v>1577369</v>
      </c>
      <c r="Z45" s="8">
        <v>36471</v>
      </c>
      <c r="AA45" s="8">
        <v>296.75400000000002</v>
      </c>
      <c r="AB45" s="8">
        <f t="shared" si="10"/>
        <v>0.12289977557168563</v>
      </c>
      <c r="AC45" s="8">
        <v>2769991.1633788995</v>
      </c>
      <c r="AD45" s="8">
        <v>10922510.791199081</v>
      </c>
      <c r="AE45" s="8">
        <v>1020511</v>
      </c>
      <c r="AF45" s="8">
        <f t="shared" si="11"/>
        <v>14713012.954577981</v>
      </c>
    </row>
    <row r="46" spans="1:32" x14ac:dyDescent="0.25">
      <c r="A46" s="5" t="s">
        <v>46</v>
      </c>
      <c r="B46" s="5" t="s">
        <v>616</v>
      </c>
      <c r="C46" s="8">
        <f t="shared" si="3"/>
        <v>739964.33205414226</v>
      </c>
      <c r="D46" s="8">
        <f t="shared" si="4"/>
        <v>2162883.0114000002</v>
      </c>
      <c r="E46" s="8">
        <f t="shared" si="5"/>
        <v>232406.95</v>
      </c>
      <c r="F46" s="8">
        <f t="shared" si="6"/>
        <v>1576781.628</v>
      </c>
      <c r="G46" s="8">
        <f t="shared" si="7"/>
        <v>851988.41198338394</v>
      </c>
      <c r="H46" s="8">
        <f t="shared" si="8"/>
        <v>1735876.3736891008</v>
      </c>
      <c r="I46" s="8">
        <v>1529345</v>
      </c>
      <c r="J46" s="8">
        <f>SUMIF(Vandværker!$G:$G,'Costdrivere 2025'!$A46&amp;"_1",Vandværker!$F:$F)</f>
        <v>107837</v>
      </c>
      <c r="K46" s="8">
        <f>SUMIF(Vandværker!$G:$G,'Costdrivere 2025'!$A46&amp;"_2",Vandværker!$F:$F)</f>
        <v>1413069</v>
      </c>
      <c r="L46" s="8">
        <f>SUMIF(Vandværker!$G:$G,'Costdrivere 2025'!$A46&amp;"_3",Vandværker!$F:$F)</f>
        <v>0</v>
      </c>
      <c r="M46" s="8">
        <f>SUMIF(Vandværker!$G:$G,'Costdrivere 2025'!$A46&amp;"_4",Vandværker!$F:$F)</f>
        <v>0</v>
      </c>
      <c r="N46" s="8">
        <v>5</v>
      </c>
      <c r="O46" s="8">
        <v>4</v>
      </c>
      <c r="P46" s="8">
        <v>150</v>
      </c>
      <c r="Q46" s="8"/>
      <c r="R46" s="8">
        <v>150</v>
      </c>
      <c r="S46" s="8">
        <v>2.4</v>
      </c>
      <c r="T46" s="8"/>
      <c r="U46" s="8">
        <v>1530</v>
      </c>
      <c r="V46" s="8">
        <v>6300</v>
      </c>
      <c r="W46" s="8">
        <v>1475627</v>
      </c>
      <c r="X46" s="8">
        <v>1490360</v>
      </c>
      <c r="Y46" s="8">
        <f t="shared" si="9"/>
        <v>1520906</v>
      </c>
      <c r="Z46" s="8">
        <v>11050</v>
      </c>
      <c r="AA46" s="8">
        <v>372.01400000000001</v>
      </c>
      <c r="AB46" s="8">
        <f t="shared" si="10"/>
        <v>2.9703183213534975E-2</v>
      </c>
      <c r="AC46" s="8">
        <v>2927881.9177739881</v>
      </c>
      <c r="AD46" s="8">
        <v>7115313.8654320017</v>
      </c>
      <c r="AE46" s="8">
        <v>199000</v>
      </c>
      <c r="AF46" s="8">
        <f t="shared" si="11"/>
        <v>10242195.78320599</v>
      </c>
    </row>
    <row r="47" spans="1:32" x14ac:dyDescent="0.25">
      <c r="A47" s="5" t="s">
        <v>47</v>
      </c>
      <c r="B47" s="5" t="s">
        <v>242</v>
      </c>
      <c r="C47" s="8">
        <f t="shared" si="3"/>
        <v>834898.76056393201</v>
      </c>
      <c r="D47" s="8">
        <f t="shared" si="4"/>
        <v>2440468.0061999997</v>
      </c>
      <c r="E47" s="8">
        <f t="shared" si="5"/>
        <v>253508.55000000002</v>
      </c>
      <c r="F47" s="8">
        <f t="shared" si="6"/>
        <v>1748786.8399999999</v>
      </c>
      <c r="G47" s="8">
        <f t="shared" si="7"/>
        <v>1096245.9026804173</v>
      </c>
      <c r="H47" s="8">
        <f t="shared" si="8"/>
        <v>1995966.3139119262</v>
      </c>
      <c r="I47" s="8">
        <v>1745744</v>
      </c>
      <c r="J47" s="8">
        <f>SUMIF(Vandværker!$G:$G,'Costdrivere 2025'!$A47&amp;"_1",Vandværker!$F:$F)</f>
        <v>0</v>
      </c>
      <c r="K47" s="8">
        <f>SUMIF(Vandværker!$G:$G,'Costdrivere 2025'!$A47&amp;"_2",Vandværker!$F:$F)</f>
        <v>1745744</v>
      </c>
      <c r="L47" s="8">
        <f>SUMIF(Vandværker!$G:$G,'Costdrivere 2025'!$A47&amp;"_3",Vandværker!$F:$F)</f>
        <v>0</v>
      </c>
      <c r="M47" s="8">
        <f>SUMIF(Vandværker!$G:$G,'Costdrivere 2025'!$A47&amp;"_4",Vandværker!$F:$F)</f>
        <v>0</v>
      </c>
      <c r="N47" s="8">
        <v>6</v>
      </c>
      <c r="O47" s="8">
        <v>3</v>
      </c>
      <c r="P47" s="8">
        <v>280</v>
      </c>
      <c r="Q47" s="8"/>
      <c r="R47" s="8">
        <v>128</v>
      </c>
      <c r="S47" s="8"/>
      <c r="T47" s="8"/>
      <c r="U47" s="8">
        <v>3229</v>
      </c>
      <c r="V47" s="8">
        <v>8323</v>
      </c>
      <c r="W47" s="8">
        <v>1723845</v>
      </c>
      <c r="X47" s="8">
        <v>1723845</v>
      </c>
      <c r="Y47" s="8">
        <f t="shared" si="9"/>
        <v>1745744</v>
      </c>
      <c r="Z47" s="8">
        <v>8368</v>
      </c>
      <c r="AA47" s="8">
        <v>442.13</v>
      </c>
      <c r="AB47" s="8">
        <f t="shared" si="10"/>
        <v>1.8926560061520367E-2</v>
      </c>
      <c r="AC47" s="8">
        <v>2585919.2472028644</v>
      </c>
      <c r="AD47" s="8">
        <v>10115051.493816668</v>
      </c>
      <c r="AE47" s="8">
        <v>931694</v>
      </c>
      <c r="AF47" s="8">
        <f t="shared" si="11"/>
        <v>13632664.741019532</v>
      </c>
    </row>
    <row r="48" spans="1:32" x14ac:dyDescent="0.25">
      <c r="A48" s="5" t="s">
        <v>48</v>
      </c>
      <c r="B48" s="5" t="s">
        <v>213</v>
      </c>
      <c r="C48" s="8">
        <f t="shared" si="3"/>
        <v>627060.62437952776</v>
      </c>
      <c r="D48" s="8">
        <f t="shared" si="4"/>
        <v>1877595.3472</v>
      </c>
      <c r="E48" s="8">
        <f t="shared" si="5"/>
        <v>147753.35</v>
      </c>
      <c r="F48" s="8">
        <f t="shared" si="6"/>
        <v>1303736.2936</v>
      </c>
      <c r="G48" s="8">
        <f t="shared" si="7"/>
        <v>1154862.9751785167</v>
      </c>
      <c r="H48" s="8">
        <f t="shared" si="8"/>
        <v>1476979.26049279</v>
      </c>
      <c r="I48" s="8">
        <v>1275484</v>
      </c>
      <c r="J48" s="8">
        <f>SUMIF(Vandværker!$G:$G,'Costdrivere 2025'!$A48&amp;"_1",Vandværker!$F:$F)</f>
        <v>0</v>
      </c>
      <c r="K48" s="8">
        <f>SUMIF(Vandværker!$G:$G,'Costdrivere 2025'!$A48&amp;"_2",Vandværker!$F:$F)</f>
        <v>1289829</v>
      </c>
      <c r="L48" s="8">
        <f>SUMIF(Vandværker!$G:$G,'Costdrivere 2025'!$A48&amp;"_3",Vandværker!$F:$F)</f>
        <v>0</v>
      </c>
      <c r="M48" s="8">
        <f>SUMIF(Vandværker!$G:$G,'Costdrivere 2025'!$A48&amp;"_4",Vandværker!$F:$F)</f>
        <v>0</v>
      </c>
      <c r="N48" s="8"/>
      <c r="O48" s="8">
        <v>5</v>
      </c>
      <c r="P48" s="8"/>
      <c r="Q48" s="8"/>
      <c r="R48" s="8">
        <v>98.9</v>
      </c>
      <c r="S48" s="8">
        <v>11.18</v>
      </c>
      <c r="T48" s="8"/>
      <c r="U48" s="8">
        <v>665</v>
      </c>
      <c r="V48" s="8">
        <v>8816</v>
      </c>
      <c r="W48" s="8">
        <v>1232721</v>
      </c>
      <c r="X48" s="8">
        <v>1232721</v>
      </c>
      <c r="Y48" s="8">
        <f t="shared" si="9"/>
        <v>1289829</v>
      </c>
      <c r="Z48" s="8">
        <v>9132</v>
      </c>
      <c r="AA48" s="8">
        <v>197.44200000000001</v>
      </c>
      <c r="AB48" s="8">
        <f t="shared" si="10"/>
        <v>4.6251557419394046E-2</v>
      </c>
      <c r="AC48" s="8">
        <v>1893331.4569552778</v>
      </c>
      <c r="AD48" s="8">
        <v>4952422.3503166651</v>
      </c>
      <c r="AE48" s="8">
        <v>0</v>
      </c>
      <c r="AF48" s="8">
        <f t="shared" si="11"/>
        <v>6845753.8072719425</v>
      </c>
    </row>
    <row r="49" spans="1:32" x14ac:dyDescent="0.25">
      <c r="A49" s="5" t="s">
        <v>49</v>
      </c>
      <c r="B49" s="5" t="s">
        <v>243</v>
      </c>
      <c r="C49" s="8">
        <f t="shared" si="3"/>
        <v>1149629.3150434426</v>
      </c>
      <c r="D49" s="8">
        <f t="shared" si="4"/>
        <v>3345860.6815999998</v>
      </c>
      <c r="E49" s="8">
        <f t="shared" si="5"/>
        <v>374724.43</v>
      </c>
      <c r="F49" s="8">
        <f t="shared" si="6"/>
        <v>4837381.5532999998</v>
      </c>
      <c r="G49" s="8">
        <f t="shared" si="7"/>
        <v>1928952.2742495805</v>
      </c>
      <c r="H49" s="8">
        <f t="shared" si="8"/>
        <v>2391251.5889916788</v>
      </c>
      <c r="I49" s="8">
        <v>2479093</v>
      </c>
      <c r="J49" s="8">
        <f>SUMIF(Vandværker!$G:$G,'Costdrivere 2025'!$A49&amp;"_1",Vandværker!$F:$F)</f>
        <v>0</v>
      </c>
      <c r="K49" s="8">
        <f>SUMIF(Vandværker!$G:$G,'Costdrivere 2025'!$A49&amp;"_2",Vandværker!$F:$F)</f>
        <v>2479093</v>
      </c>
      <c r="L49" s="8">
        <f>SUMIF(Vandværker!$G:$G,'Costdrivere 2025'!$A49&amp;"_3",Vandværker!$F:$F)</f>
        <v>0</v>
      </c>
      <c r="M49" s="8">
        <f>SUMIF(Vandværker!$G:$G,'Costdrivere 2025'!$A49&amp;"_4",Vandværker!$F:$F)</f>
        <v>0</v>
      </c>
      <c r="N49" s="8">
        <v>5</v>
      </c>
      <c r="O49" s="8">
        <v>6</v>
      </c>
      <c r="P49" s="8">
        <v>436.5</v>
      </c>
      <c r="Q49" s="8">
        <v>1000</v>
      </c>
      <c r="R49" s="8">
        <v>302.83</v>
      </c>
      <c r="S49" s="8">
        <v>53.6</v>
      </c>
      <c r="T49" s="8"/>
      <c r="U49" s="8">
        <v>2600</v>
      </c>
      <c r="V49" s="8">
        <v>15538</v>
      </c>
      <c r="W49" s="8">
        <v>2108063</v>
      </c>
      <c r="X49" s="8">
        <v>2108063</v>
      </c>
      <c r="Y49" s="8">
        <f t="shared" si="9"/>
        <v>2479093</v>
      </c>
      <c r="Z49" s="8">
        <v>31051</v>
      </c>
      <c r="AA49" s="8">
        <v>646.80884147767904</v>
      </c>
      <c r="AB49" s="8">
        <f t="shared" si="10"/>
        <v>4.8006455708091228E-2</v>
      </c>
      <c r="AC49" s="8">
        <v>6909371.92642981</v>
      </c>
      <c r="AD49" s="8">
        <v>20945974.61875391</v>
      </c>
      <c r="AE49" s="8">
        <v>1310662</v>
      </c>
      <c r="AF49" s="8">
        <f t="shared" si="11"/>
        <v>29166008.545183718</v>
      </c>
    </row>
    <row r="50" spans="1:32" x14ac:dyDescent="0.25">
      <c r="A50" s="5" t="s">
        <v>50</v>
      </c>
      <c r="B50" s="5" t="s">
        <v>214</v>
      </c>
      <c r="C50" s="8">
        <f t="shared" si="3"/>
        <v>484278.13303937198</v>
      </c>
      <c r="D50" s="8">
        <f t="shared" si="4"/>
        <v>1587656.6464</v>
      </c>
      <c r="E50" s="8">
        <f t="shared" si="5"/>
        <v>241678.55</v>
      </c>
      <c r="F50" s="8">
        <f t="shared" si="6"/>
        <v>1250399.9279999998</v>
      </c>
      <c r="G50" s="8">
        <f t="shared" si="7"/>
        <v>911270.86302964191</v>
      </c>
      <c r="H50" s="8">
        <f t="shared" si="8"/>
        <v>1126929.6150327544</v>
      </c>
      <c r="I50" s="8">
        <v>960829</v>
      </c>
      <c r="J50" s="8">
        <f>SUMIF(Vandværker!$G:$G,'Costdrivere 2025'!$A50&amp;"_1",Vandværker!$F:$F)</f>
        <v>363477</v>
      </c>
      <c r="K50" s="8">
        <f>SUMIF(Vandværker!$G:$G,'Costdrivere 2025'!$A50&amp;"_2",Vandværker!$F:$F)</f>
        <v>0</v>
      </c>
      <c r="L50" s="8">
        <f>SUMIF(Vandværker!$G:$G,'Costdrivere 2025'!$A50&amp;"_3",Vandværker!$F:$F)</f>
        <v>0</v>
      </c>
      <c r="M50" s="8">
        <f>SUMIF(Vandværker!$G:$G,'Costdrivere 2025'!$A50&amp;"_4",Vandværker!$F:$F)</f>
        <v>597352</v>
      </c>
      <c r="N50" s="8">
        <v>5</v>
      </c>
      <c r="O50" s="8">
        <v>3</v>
      </c>
      <c r="P50" s="8">
        <v>300</v>
      </c>
      <c r="Q50" s="8"/>
      <c r="R50" s="8">
        <v>105</v>
      </c>
      <c r="S50" s="8">
        <v>5.4</v>
      </c>
      <c r="T50" s="8"/>
      <c r="U50" s="8">
        <v>1116</v>
      </c>
      <c r="V50" s="8">
        <v>6786</v>
      </c>
      <c r="W50" s="8">
        <v>912102</v>
      </c>
      <c r="X50" s="8">
        <v>912102</v>
      </c>
      <c r="Y50" s="8">
        <f t="shared" si="9"/>
        <v>960829</v>
      </c>
      <c r="Z50" s="8">
        <v>8112</v>
      </c>
      <c r="AA50" s="8">
        <v>240.13496075285022</v>
      </c>
      <c r="AB50" s="8">
        <f t="shared" si="10"/>
        <v>3.3781003709613816E-2</v>
      </c>
      <c r="AC50" s="8">
        <v>2305011.1563566928</v>
      </c>
      <c r="AD50" s="8">
        <v>6096398.8845492238</v>
      </c>
      <c r="AE50" s="8">
        <v>257000</v>
      </c>
      <c r="AF50" s="8">
        <f t="shared" si="11"/>
        <v>8658410.0409059171</v>
      </c>
    </row>
    <row r="51" spans="1:32" x14ac:dyDescent="0.25">
      <c r="A51" s="5" t="s">
        <v>51</v>
      </c>
      <c r="B51" s="5" t="s">
        <v>215</v>
      </c>
      <c r="C51" s="8">
        <f t="shared" si="3"/>
        <v>1651032.081876528</v>
      </c>
      <c r="D51" s="8">
        <f t="shared" si="4"/>
        <v>4352099.1887999997</v>
      </c>
      <c r="E51" s="8">
        <f t="shared" si="5"/>
        <v>544121.43000000005</v>
      </c>
      <c r="F51" s="8">
        <f t="shared" si="6"/>
        <v>4742929.1963999998</v>
      </c>
      <c r="G51" s="8">
        <f t="shared" si="7"/>
        <v>2793835.3426493239</v>
      </c>
      <c r="H51" s="8">
        <f t="shared" si="8"/>
        <v>3669787.1493512937</v>
      </c>
      <c r="I51" s="8">
        <v>3686717</v>
      </c>
      <c r="J51" s="8">
        <f>SUMIF(Vandværker!$G:$G,'Costdrivere 2025'!$A51&amp;"_1",Vandværker!$F:$F)</f>
        <v>0</v>
      </c>
      <c r="K51" s="8">
        <f>SUMIF(Vandværker!$G:$G,'Costdrivere 2025'!$A51&amp;"_2",Vandværker!$F:$F)</f>
        <v>3294125</v>
      </c>
      <c r="L51" s="8">
        <f>SUMIF(Vandværker!$G:$G,'Costdrivere 2025'!$A51&amp;"_3",Vandværker!$F:$F)</f>
        <v>0</v>
      </c>
      <c r="M51" s="8">
        <f>SUMIF(Vandværker!$G:$G,'Costdrivere 2025'!$A51&amp;"_4",Vandværker!$F:$F)</f>
        <v>0</v>
      </c>
      <c r="N51" s="8">
        <v>3</v>
      </c>
      <c r="O51" s="8">
        <v>20</v>
      </c>
      <c r="P51" s="8">
        <v>605</v>
      </c>
      <c r="Q51" s="8">
        <v>408</v>
      </c>
      <c r="R51" s="8">
        <v>275.24</v>
      </c>
      <c r="S51" s="8"/>
      <c r="T51" s="8"/>
      <c r="U51" s="8">
        <v>10898</v>
      </c>
      <c r="V51" s="8">
        <v>23395</v>
      </c>
      <c r="W51" s="8">
        <v>3396471</v>
      </c>
      <c r="X51" s="8">
        <v>3232883</v>
      </c>
      <c r="Y51" s="8">
        <f t="shared" si="9"/>
        <v>3294125</v>
      </c>
      <c r="Z51" s="8">
        <v>25948</v>
      </c>
      <c r="AA51" s="8">
        <v>1269.1289999999999</v>
      </c>
      <c r="AB51" s="8">
        <f t="shared" si="10"/>
        <v>2.0445518146697459E-2</v>
      </c>
      <c r="AC51" s="8">
        <v>8230324.3383217556</v>
      </c>
      <c r="AD51" s="8">
        <v>29030387.173549987</v>
      </c>
      <c r="AE51" s="8">
        <v>363000</v>
      </c>
      <c r="AF51" s="8">
        <f t="shared" si="11"/>
        <v>37623711.51187174</v>
      </c>
    </row>
    <row r="52" spans="1:32" x14ac:dyDescent="0.25">
      <c r="A52" s="5" t="s">
        <v>52</v>
      </c>
      <c r="B52" s="5" t="s">
        <v>244</v>
      </c>
      <c r="C52" s="8">
        <f t="shared" si="3"/>
        <v>734093.48772592493</v>
      </c>
      <c r="D52" s="8">
        <f t="shared" si="4"/>
        <v>2140408.3530000001</v>
      </c>
      <c r="E52" s="8">
        <f t="shared" si="5"/>
        <v>173724.55</v>
      </c>
      <c r="F52" s="8">
        <f t="shared" si="6"/>
        <v>2730345.3344999999</v>
      </c>
      <c r="G52" s="8">
        <f t="shared" si="7"/>
        <v>1163871.2177496143</v>
      </c>
      <c r="H52" s="8">
        <f t="shared" si="8"/>
        <v>1622378.3639269588</v>
      </c>
      <c r="I52" s="8">
        <v>1516047</v>
      </c>
      <c r="J52" s="8">
        <f>SUMIF(Vandværker!$G:$G,'Costdrivere 2025'!$A52&amp;"_1",Vandværker!$F:$F)</f>
        <v>0</v>
      </c>
      <c r="K52" s="8">
        <f>SUMIF(Vandværker!$G:$G,'Costdrivere 2025'!$A52&amp;"_2",Vandværker!$F:$F)</f>
        <v>1502702</v>
      </c>
      <c r="L52" s="8">
        <f>SUMIF(Vandværker!$G:$G,'Costdrivere 2025'!$A52&amp;"_3",Vandværker!$F:$F)</f>
        <v>0</v>
      </c>
      <c r="M52" s="8">
        <f>SUMIF(Vandværker!$G:$G,'Costdrivere 2025'!$A52&amp;"_4",Vandværker!$F:$F)</f>
        <v>0</v>
      </c>
      <c r="N52" s="8">
        <v>1</v>
      </c>
      <c r="O52" s="8">
        <v>4</v>
      </c>
      <c r="P52" s="8">
        <v>160</v>
      </c>
      <c r="Q52" s="8"/>
      <c r="R52" s="8">
        <v>164.75</v>
      </c>
      <c r="S52" s="8">
        <v>24.6</v>
      </c>
      <c r="T52" s="8"/>
      <c r="U52" s="8">
        <v>2480</v>
      </c>
      <c r="V52" s="8">
        <v>8892</v>
      </c>
      <c r="W52" s="8">
        <v>1368593</v>
      </c>
      <c r="X52" s="8">
        <v>1371596</v>
      </c>
      <c r="Y52" s="8">
        <f t="shared" si="9"/>
        <v>1502702</v>
      </c>
      <c r="Z52" s="8">
        <v>15277</v>
      </c>
      <c r="AA52" s="8">
        <v>418.06400000000002</v>
      </c>
      <c r="AB52" s="8">
        <f t="shared" si="10"/>
        <v>3.6542251904014694E-2</v>
      </c>
      <c r="AC52" s="8">
        <v>2776588.687117273</v>
      </c>
      <c r="AD52" s="8">
        <v>9681090.0970384162</v>
      </c>
      <c r="AE52" s="8">
        <v>640331</v>
      </c>
      <c r="AF52" s="8">
        <f t="shared" si="11"/>
        <v>13098009.784155689</v>
      </c>
    </row>
    <row r="53" spans="1:32" x14ac:dyDescent="0.25">
      <c r="A53" s="5" t="s">
        <v>53</v>
      </c>
      <c r="B53" s="5" t="s">
        <v>245</v>
      </c>
      <c r="C53" s="8">
        <f t="shared" si="3"/>
        <v>1603582.6776676937</v>
      </c>
      <c r="D53" s="8">
        <f t="shared" si="4"/>
        <v>4713799.9908999996</v>
      </c>
      <c r="E53" s="8">
        <f t="shared" si="5"/>
        <v>337714.39</v>
      </c>
      <c r="F53" s="8">
        <f t="shared" si="6"/>
        <v>4182763.3476</v>
      </c>
      <c r="G53" s="8">
        <f t="shared" si="7"/>
        <v>1710046.2259950428</v>
      </c>
      <c r="H53" s="8">
        <f t="shared" si="8"/>
        <v>3428358.2988515822</v>
      </c>
      <c r="I53" s="8">
        <v>3570715</v>
      </c>
      <c r="J53" s="8">
        <f>SUMIF(Vandværker!$G:$G,'Costdrivere 2025'!$A53&amp;"_1",Vandværker!$F:$F)</f>
        <v>0</v>
      </c>
      <c r="K53" s="8">
        <f>SUMIF(Vandværker!$G:$G,'Costdrivere 2025'!$A53&amp;"_2",Vandværker!$F:$F)</f>
        <v>3388391</v>
      </c>
      <c r="L53" s="8">
        <f>SUMIF(Vandværker!$G:$G,'Costdrivere 2025'!$A53&amp;"_3",Vandværker!$F:$F)</f>
        <v>128339</v>
      </c>
      <c r="M53" s="8">
        <f>SUMIF(Vandværker!$G:$G,'Costdrivere 2025'!$A53&amp;"_4",Vandværker!$F:$F)</f>
        <v>0</v>
      </c>
      <c r="N53" s="8">
        <v>6</v>
      </c>
      <c r="O53" s="8">
        <v>3</v>
      </c>
      <c r="P53" s="8">
        <v>192</v>
      </c>
      <c r="Q53" s="8">
        <v>1500</v>
      </c>
      <c r="R53" s="8">
        <v>211.24</v>
      </c>
      <c r="S53" s="8">
        <v>66.959999999999994</v>
      </c>
      <c r="T53" s="8"/>
      <c r="U53" s="8">
        <v>733</v>
      </c>
      <c r="V53" s="8">
        <v>13602</v>
      </c>
      <c r="W53" s="8">
        <v>3148591</v>
      </c>
      <c r="X53" s="8">
        <v>3025360</v>
      </c>
      <c r="Y53" s="8">
        <f t="shared" si="9"/>
        <v>3516730</v>
      </c>
      <c r="Z53" s="8">
        <v>41747</v>
      </c>
      <c r="AA53" s="8">
        <v>366.95859000000002</v>
      </c>
      <c r="AB53" s="8">
        <f t="shared" si="10"/>
        <v>0.11376488011903468</v>
      </c>
      <c r="AC53" s="8">
        <v>4170921.1916076867</v>
      </c>
      <c r="AD53" s="8">
        <v>13480719.563459152</v>
      </c>
      <c r="AE53" s="8">
        <v>403175.43137028092</v>
      </c>
      <c r="AF53" s="8">
        <f t="shared" si="11"/>
        <v>18054816.186437119</v>
      </c>
    </row>
    <row r="54" spans="1:32" x14ac:dyDescent="0.25">
      <c r="A54" s="5" t="s">
        <v>54</v>
      </c>
      <c r="B54" s="5" t="s">
        <v>246</v>
      </c>
      <c r="C54" s="8">
        <f t="shared" si="3"/>
        <v>779654.44970986212</v>
      </c>
      <c r="D54" s="8">
        <f t="shared" si="4"/>
        <v>2286484.9904</v>
      </c>
      <c r="E54" s="8">
        <f t="shared" si="5"/>
        <v>87447.75</v>
      </c>
      <c r="F54" s="8">
        <f t="shared" si="6"/>
        <v>1443252.1460000002</v>
      </c>
      <c r="G54" s="8">
        <f t="shared" si="7"/>
        <v>1211282.3160581233</v>
      </c>
      <c r="H54" s="8">
        <f t="shared" si="8"/>
        <v>1801531.1613367856</v>
      </c>
      <c r="I54" s="8">
        <v>1619510</v>
      </c>
      <c r="J54" s="8">
        <f>SUMIF(Vandværker!$G:$G,'Costdrivere 2025'!$A54&amp;"_1",Vandværker!$F:$F)</f>
        <v>0</v>
      </c>
      <c r="K54" s="8">
        <f>SUMIF(Vandværker!$G:$G,'Costdrivere 2025'!$A54&amp;"_2",Vandværker!$F:$F)</f>
        <v>1621021</v>
      </c>
      <c r="L54" s="8">
        <f>SUMIF(Vandværker!$G:$G,'Costdrivere 2025'!$A54&amp;"_3",Vandværker!$F:$F)</f>
        <v>0</v>
      </c>
      <c r="M54" s="8">
        <f>SUMIF(Vandværker!$G:$G,'Costdrivere 2025'!$A54&amp;"_4",Vandværker!$F:$F)</f>
        <v>0</v>
      </c>
      <c r="N54" s="8"/>
      <c r="O54" s="8">
        <v>1</v>
      </c>
      <c r="P54" s="8"/>
      <c r="Q54" s="8"/>
      <c r="R54" s="8">
        <v>163.9</v>
      </c>
      <c r="S54" s="8">
        <v>5.0999999999999996</v>
      </c>
      <c r="T54" s="8"/>
      <c r="U54" s="8">
        <v>183</v>
      </c>
      <c r="V54" s="8">
        <v>9293</v>
      </c>
      <c r="W54" s="8">
        <v>1537910</v>
      </c>
      <c r="X54" s="8">
        <v>1537910</v>
      </c>
      <c r="Y54" s="8">
        <f t="shared" si="9"/>
        <v>1621021</v>
      </c>
      <c r="Z54" s="8">
        <v>18833</v>
      </c>
      <c r="AA54" s="8">
        <v>200.54470410782039</v>
      </c>
      <c r="AB54" s="8">
        <f t="shared" si="10"/>
        <v>9.3909236266217583E-2</v>
      </c>
      <c r="AC54" s="8">
        <v>1882877.6828089806</v>
      </c>
      <c r="AD54" s="8">
        <v>7401934.2821549047</v>
      </c>
      <c r="AE54" s="8">
        <v>829056.7080000001</v>
      </c>
      <c r="AF54" s="8">
        <f t="shared" si="11"/>
        <v>10113868.672963886</v>
      </c>
    </row>
    <row r="55" spans="1:32" x14ac:dyDescent="0.25">
      <c r="A55" s="5" t="s">
        <v>55</v>
      </c>
      <c r="B55" s="5" t="s">
        <v>247</v>
      </c>
      <c r="C55" s="8">
        <f t="shared" si="3"/>
        <v>499700.7445539349</v>
      </c>
      <c r="D55" s="8">
        <f t="shared" si="4"/>
        <v>2081676.6237999999</v>
      </c>
      <c r="E55" s="8">
        <f t="shared" si="5"/>
        <v>117600.55</v>
      </c>
      <c r="F55" s="8">
        <f t="shared" si="6"/>
        <v>1089316.709</v>
      </c>
      <c r="G55" s="8">
        <f t="shared" si="7"/>
        <v>917468.0419572657</v>
      </c>
      <c r="H55" s="8">
        <f t="shared" si="8"/>
        <v>1071564.9251338439</v>
      </c>
      <c r="I55" s="8">
        <v>994428</v>
      </c>
      <c r="J55" s="8">
        <f>SUMIF(Vandværker!$G:$G,'Costdrivere 2025'!$A55&amp;"_1",Vandværker!$F:$F)</f>
        <v>0</v>
      </c>
      <c r="K55" s="8">
        <f>SUMIF(Vandværker!$G:$G,'Costdrivere 2025'!$A55&amp;"_2",Vandværker!$F:$F)</f>
        <v>0</v>
      </c>
      <c r="L55" s="8">
        <f>SUMIF(Vandværker!$G:$G,'Costdrivere 2025'!$A55&amp;"_3",Vandværker!$F:$F)</f>
        <v>939840</v>
      </c>
      <c r="M55" s="8">
        <f>SUMIF(Vandværker!$G:$G,'Costdrivere 2025'!$A55&amp;"_4",Vandværker!$F:$F)</f>
        <v>0</v>
      </c>
      <c r="N55" s="8"/>
      <c r="O55" s="8">
        <v>3</v>
      </c>
      <c r="P55" s="8"/>
      <c r="Q55" s="8"/>
      <c r="R55" s="8">
        <v>129.9</v>
      </c>
      <c r="S55" s="8"/>
      <c r="T55" s="8"/>
      <c r="U55" s="8">
        <v>518</v>
      </c>
      <c r="V55" s="8">
        <v>6837</v>
      </c>
      <c r="W55" s="8">
        <v>862343</v>
      </c>
      <c r="X55" s="8">
        <v>862343</v>
      </c>
      <c r="Y55" s="8">
        <f t="shared" si="9"/>
        <v>939840</v>
      </c>
      <c r="Z55" s="8">
        <v>9251</v>
      </c>
      <c r="AA55" s="8">
        <v>185.45099999999999</v>
      </c>
      <c r="AB55" s="8">
        <f t="shared" si="10"/>
        <v>4.9883796798076044E-2</v>
      </c>
      <c r="AC55" s="8">
        <v>2232773.4927154668</v>
      </c>
      <c r="AD55" s="8">
        <v>4808105.7856316669</v>
      </c>
      <c r="AE55" s="8">
        <v>211500</v>
      </c>
      <c r="AF55" s="8">
        <f t="shared" si="11"/>
        <v>7252379.2783471337</v>
      </c>
    </row>
    <row r="56" spans="1:32" x14ac:dyDescent="0.25">
      <c r="A56" s="5" t="s">
        <v>56</v>
      </c>
      <c r="B56" s="5" t="s">
        <v>248</v>
      </c>
      <c r="C56" s="8">
        <f t="shared" si="3"/>
        <v>1349271.6449918607</v>
      </c>
      <c r="D56" s="8">
        <f t="shared" si="4"/>
        <v>4468733.8498</v>
      </c>
      <c r="E56" s="8">
        <f t="shared" si="5"/>
        <v>435275.66999999993</v>
      </c>
      <c r="F56" s="8">
        <f t="shared" si="6"/>
        <v>4307202.9052999998</v>
      </c>
      <c r="G56" s="8">
        <f t="shared" si="7"/>
        <v>2590138.0108364844</v>
      </c>
      <c r="H56" s="8">
        <f t="shared" si="8"/>
        <v>3135937.2556649935</v>
      </c>
      <c r="I56" s="8">
        <v>2954855</v>
      </c>
      <c r="J56" s="8">
        <f>SUMIF(Vandværker!$G:$G,'Costdrivere 2025'!$A56&amp;"_1",Vandværker!$F:$F)</f>
        <v>0</v>
      </c>
      <c r="K56" s="8">
        <f>SUMIF(Vandværker!$G:$G,'Costdrivere 2025'!$A56&amp;"_2",Vandværker!$F:$F)</f>
        <v>0</v>
      </c>
      <c r="L56" s="8">
        <f>SUMIF(Vandværker!$G:$G,'Costdrivere 2025'!$A56&amp;"_3",Vandværker!$F:$F)</f>
        <v>0</v>
      </c>
      <c r="M56" s="8">
        <f>SUMIF(Vandværker!$G:$G,'Costdrivere 2025'!$A56&amp;"_4",Vandværker!$F:$F)</f>
        <v>2927205</v>
      </c>
      <c r="N56" s="8">
        <v>12</v>
      </c>
      <c r="O56" s="8">
        <v>7</v>
      </c>
      <c r="P56" s="8">
        <v>471</v>
      </c>
      <c r="Q56" s="8"/>
      <c r="R56" s="8">
        <v>350.5</v>
      </c>
      <c r="S56" s="8">
        <v>31.49</v>
      </c>
      <c r="T56" s="8"/>
      <c r="U56" s="8">
        <v>2288</v>
      </c>
      <c r="V56" s="8">
        <v>21518</v>
      </c>
      <c r="W56" s="8">
        <v>2851015</v>
      </c>
      <c r="X56" s="8">
        <v>2851014.58</v>
      </c>
      <c r="Y56" s="8">
        <f t="shared" si="9"/>
        <v>2927205</v>
      </c>
      <c r="Z56" s="8">
        <v>37345</v>
      </c>
      <c r="AA56" s="8">
        <v>639.95039399650693</v>
      </c>
      <c r="AB56" s="8">
        <f t="shared" si="10"/>
        <v>5.8356085644044223E-2</v>
      </c>
      <c r="AC56" s="8">
        <v>3120076.5693007177</v>
      </c>
      <c r="AD56" s="8">
        <v>17913124.384971809</v>
      </c>
      <c r="AE56" s="8">
        <v>3661000</v>
      </c>
      <c r="AF56" s="8">
        <f t="shared" si="11"/>
        <v>24694200.954272527</v>
      </c>
    </row>
    <row r="57" spans="1:32" x14ac:dyDescent="0.25">
      <c r="A57" s="5" t="s">
        <v>57</v>
      </c>
      <c r="B57" s="5" t="s">
        <v>533</v>
      </c>
      <c r="C57" s="8">
        <f t="shared" si="3"/>
        <v>3289054.6044859458</v>
      </c>
      <c r="D57" s="8">
        <f t="shared" si="4"/>
        <v>15105028.140799999</v>
      </c>
      <c r="E57" s="8">
        <f t="shared" si="5"/>
        <v>0</v>
      </c>
      <c r="F57" s="8">
        <f t="shared" si="6"/>
        <v>165441.239</v>
      </c>
      <c r="G57" s="8">
        <f t="shared" si="7"/>
        <v>1087.0645334521078</v>
      </c>
      <c r="H57" s="8">
        <f t="shared" si="8"/>
        <v>7695800.9219610421</v>
      </c>
      <c r="I57" s="8">
        <v>7848754</v>
      </c>
      <c r="J57" s="8">
        <f>SUMIF(Vandværker!$G:$G,'Costdrivere 2025'!$A57&amp;"_1",Vandværker!$F:$F)</f>
        <v>0</v>
      </c>
      <c r="K57" s="8">
        <f>SUMIF(Vandværker!$G:$G,'Costdrivere 2025'!$A57&amp;"_2",Vandværker!$F:$F)</f>
        <v>0</v>
      </c>
      <c r="L57" s="8">
        <f>SUMIF(Vandværker!$G:$G,'Costdrivere 2025'!$A57&amp;"_3",Vandværker!$F:$F)</f>
        <v>7752998</v>
      </c>
      <c r="M57" s="8">
        <f>SUMIF(Vandværker!$G:$G,'Costdrivere 2025'!$A57&amp;"_4",Vandværker!$F:$F)</f>
        <v>0</v>
      </c>
      <c r="N57" s="8"/>
      <c r="O57" s="8"/>
      <c r="P57" s="8"/>
      <c r="Q57" s="8"/>
      <c r="R57" s="8">
        <v>14</v>
      </c>
      <c r="S57" s="8">
        <v>1.7</v>
      </c>
      <c r="T57" s="8"/>
      <c r="U57" s="8"/>
      <c r="V57" s="8">
        <v>4</v>
      </c>
      <c r="W57" s="8">
        <v>7747677</v>
      </c>
      <c r="X57" s="8"/>
      <c r="Y57" s="8">
        <f t="shared" si="9"/>
        <v>7752998</v>
      </c>
      <c r="Z57" s="8"/>
      <c r="AA57" s="8">
        <v>31.942089830438331</v>
      </c>
      <c r="AB57" s="8">
        <f t="shared" si="10"/>
        <v>0</v>
      </c>
      <c r="AC57" s="8">
        <v>8699131.5501388889</v>
      </c>
      <c r="AD57" s="8">
        <v>2471056.5764131378</v>
      </c>
      <c r="AE57" s="8">
        <v>1130997.1140000001</v>
      </c>
      <c r="AF57" s="8">
        <f t="shared" si="11"/>
        <v>12301185.240552027</v>
      </c>
    </row>
    <row r="58" spans="1:32" x14ac:dyDescent="0.25">
      <c r="A58" s="5" t="s">
        <v>58</v>
      </c>
      <c r="B58" s="5" t="s">
        <v>249</v>
      </c>
      <c r="C58" s="8">
        <f t="shared" si="3"/>
        <v>1760616.1588540636</v>
      </c>
      <c r="D58" s="8">
        <f t="shared" si="4"/>
        <v>7758909.9952999996</v>
      </c>
      <c r="E58" s="8">
        <f t="shared" si="5"/>
        <v>585446.49</v>
      </c>
      <c r="F58" s="8">
        <f t="shared" si="6"/>
        <v>4608842.8897000002</v>
      </c>
      <c r="G58" s="8">
        <f t="shared" si="7"/>
        <v>2630094.060163124</v>
      </c>
      <c r="H58" s="8">
        <f t="shared" si="8"/>
        <v>3903617.3806446195</v>
      </c>
      <c r="I58" s="8">
        <v>3955839</v>
      </c>
      <c r="J58" s="8">
        <f>SUMIF(Vandværker!$G:$G,'Costdrivere 2025'!$A58&amp;"_1",Vandværker!$F:$F)</f>
        <v>0</v>
      </c>
      <c r="K58" s="8">
        <f>SUMIF(Vandværker!$G:$G,'Costdrivere 2025'!$A58&amp;"_2",Vandværker!$F:$F)</f>
        <v>0</v>
      </c>
      <c r="L58" s="8">
        <f>SUMIF(Vandværker!$G:$G,'Costdrivere 2025'!$A58&amp;"_3",Vandværker!$F:$F)</f>
        <v>3909881</v>
      </c>
      <c r="M58" s="8">
        <f>SUMIF(Vandværker!$G:$G,'Costdrivere 2025'!$A58&amp;"_4",Vandværker!$F:$F)</f>
        <v>0</v>
      </c>
      <c r="N58" s="8">
        <v>5</v>
      </c>
      <c r="O58" s="8">
        <v>14</v>
      </c>
      <c r="P58" s="8">
        <v>916</v>
      </c>
      <c r="Q58" s="8">
        <v>1187</v>
      </c>
      <c r="R58" s="8">
        <v>306.95999999999998</v>
      </c>
      <c r="S58" s="8">
        <v>32.03</v>
      </c>
      <c r="T58" s="8"/>
      <c r="U58" s="8">
        <v>4719</v>
      </c>
      <c r="V58" s="8">
        <v>21885</v>
      </c>
      <c r="W58" s="8">
        <v>3638324</v>
      </c>
      <c r="X58" s="8">
        <v>3638324</v>
      </c>
      <c r="Y58" s="8">
        <f t="shared" si="9"/>
        <v>3909881</v>
      </c>
      <c r="Z58" s="8">
        <v>26264</v>
      </c>
      <c r="AA58" s="8">
        <v>754.73964579000005</v>
      </c>
      <c r="AB58" s="8">
        <f t="shared" si="10"/>
        <v>3.4798754970012183E-2</v>
      </c>
      <c r="AC58" s="8">
        <v>6826366.0720378328</v>
      </c>
      <c r="AD58" s="8">
        <v>24866669.223520428</v>
      </c>
      <c r="AE58" s="8">
        <v>724216</v>
      </c>
      <c r="AF58" s="8">
        <f t="shared" si="11"/>
        <v>32417251.295558259</v>
      </c>
    </row>
    <row r="59" spans="1:32" x14ac:dyDescent="0.25">
      <c r="A59" s="5" t="s">
        <v>59</v>
      </c>
      <c r="B59" s="5" t="s">
        <v>250</v>
      </c>
      <c r="C59" s="8">
        <f t="shared" si="3"/>
        <v>613041.52059691295</v>
      </c>
      <c r="D59" s="8">
        <f t="shared" si="4"/>
        <v>1891189.7807999998</v>
      </c>
      <c r="E59" s="8">
        <f t="shared" si="5"/>
        <v>313593.75</v>
      </c>
      <c r="F59" s="8">
        <f t="shared" si="6"/>
        <v>2111217.6370000001</v>
      </c>
      <c r="G59" s="8">
        <f t="shared" si="7"/>
        <v>973049.66265239567</v>
      </c>
      <c r="H59" s="8">
        <f t="shared" si="8"/>
        <v>1338837.059530783</v>
      </c>
      <c r="I59" s="8">
        <v>1244254</v>
      </c>
      <c r="J59" s="8">
        <f>SUMIF(Vandværker!$G:$G,'Costdrivere 2025'!$A59&amp;"_1",Vandværker!$F:$F)</f>
        <v>0</v>
      </c>
      <c r="K59" s="8">
        <f>SUMIF(Vandværker!$G:$G,'Costdrivere 2025'!$A59&amp;"_2",Vandværker!$F:$F)</f>
        <v>889869</v>
      </c>
      <c r="L59" s="8">
        <f>SUMIF(Vandværker!$G:$G,'Costdrivere 2025'!$A59&amp;"_3",Vandværker!$F:$F)</f>
        <v>160360</v>
      </c>
      <c r="M59" s="8">
        <f>SUMIF(Vandværker!$G:$G,'Costdrivere 2025'!$A59&amp;"_4",Vandværker!$F:$F)</f>
        <v>140538</v>
      </c>
      <c r="N59" s="8">
        <v>4</v>
      </c>
      <c r="O59" s="8">
        <v>12</v>
      </c>
      <c r="P59" s="8"/>
      <c r="Q59" s="8"/>
      <c r="R59" s="8">
        <v>136.69999999999999</v>
      </c>
      <c r="S59" s="8">
        <v>22</v>
      </c>
      <c r="T59" s="8"/>
      <c r="U59" s="8">
        <v>1204</v>
      </c>
      <c r="V59" s="8">
        <v>7296</v>
      </c>
      <c r="W59" s="8">
        <v>1105030</v>
      </c>
      <c r="X59" s="8">
        <v>1105030</v>
      </c>
      <c r="Y59" s="8">
        <f t="shared" si="9"/>
        <v>1190767</v>
      </c>
      <c r="Z59" s="8">
        <v>13082</v>
      </c>
      <c r="AA59" s="8">
        <v>273.17625999999939</v>
      </c>
      <c r="AB59" s="8">
        <f t="shared" si="10"/>
        <v>4.7888495142293951E-2</v>
      </c>
      <c r="AC59" s="8">
        <v>2161145.4349864139</v>
      </c>
      <c r="AD59" s="8">
        <v>7209842.2708273269</v>
      </c>
      <c r="AE59" s="8">
        <v>407000</v>
      </c>
      <c r="AF59" s="8">
        <f t="shared" si="11"/>
        <v>9777987.7058137413</v>
      </c>
    </row>
    <row r="60" spans="1:32" x14ac:dyDescent="0.25">
      <c r="A60" s="5" t="s">
        <v>60</v>
      </c>
      <c r="B60" s="5" t="s">
        <v>251</v>
      </c>
      <c r="C60" s="8">
        <f t="shared" si="3"/>
        <v>1198144.4439486156</v>
      </c>
      <c r="D60" s="8">
        <f t="shared" si="4"/>
        <v>3448377.3687</v>
      </c>
      <c r="E60" s="8">
        <f t="shared" si="5"/>
        <v>384001.91000000003</v>
      </c>
      <c r="F60" s="8">
        <f t="shared" si="6"/>
        <v>3598033.1389999995</v>
      </c>
      <c r="G60" s="8">
        <f t="shared" si="7"/>
        <v>1805026.658099049</v>
      </c>
      <c r="H60" s="8">
        <f t="shared" si="8"/>
        <v>2723761.7442467124</v>
      </c>
      <c r="I60" s="8">
        <v>2594025</v>
      </c>
      <c r="J60" s="8">
        <f>SUMIF(Vandværker!$G:$G,'Costdrivere 2025'!$A60&amp;"_1",Vandværker!$F:$F)</f>
        <v>0</v>
      </c>
      <c r="K60" s="8">
        <f>SUMIF(Vandværker!$G:$G,'Costdrivere 2025'!$A60&amp;"_2",Vandværker!$F:$F)</f>
        <v>2536829</v>
      </c>
      <c r="L60" s="8">
        <f>SUMIF(Vandværker!$G:$G,'Costdrivere 2025'!$A60&amp;"_3",Vandværker!$F:$F)</f>
        <v>16341</v>
      </c>
      <c r="M60" s="8">
        <f>SUMIF(Vandværker!$G:$G,'Costdrivere 2025'!$A60&amp;"_4",Vandværker!$F:$F)</f>
        <v>0</v>
      </c>
      <c r="N60" s="8">
        <v>7</v>
      </c>
      <c r="O60" s="8">
        <v>11</v>
      </c>
      <c r="P60" s="8">
        <v>248</v>
      </c>
      <c r="Q60" s="8"/>
      <c r="R60" s="8">
        <v>218.5</v>
      </c>
      <c r="S60" s="8">
        <v>21.2</v>
      </c>
      <c r="T60" s="8"/>
      <c r="U60" s="8">
        <v>4871</v>
      </c>
      <c r="V60" s="8">
        <v>14439</v>
      </c>
      <c r="W60" s="8">
        <v>2436969</v>
      </c>
      <c r="X60" s="8">
        <v>2441055</v>
      </c>
      <c r="Y60" s="8">
        <f t="shared" si="9"/>
        <v>2553170</v>
      </c>
      <c r="Z60" s="8">
        <v>18025</v>
      </c>
      <c r="AA60" s="8">
        <v>747.29399999999998</v>
      </c>
      <c r="AB60" s="8">
        <f t="shared" si="10"/>
        <v>2.412035959073671E-2</v>
      </c>
      <c r="AC60" s="8">
        <v>3309433.6648312798</v>
      </c>
      <c r="AD60" s="8">
        <v>15667931.769853335</v>
      </c>
      <c r="AE60" s="8">
        <v>1140000</v>
      </c>
      <c r="AF60" s="8">
        <f t="shared" si="11"/>
        <v>20117365.434684616</v>
      </c>
    </row>
    <row r="61" spans="1:32" x14ac:dyDescent="0.25">
      <c r="A61" s="5" t="s">
        <v>61</v>
      </c>
      <c r="B61" s="5" t="s">
        <v>216</v>
      </c>
      <c r="C61" s="8">
        <f t="shared" si="3"/>
        <v>530973.12385325867</v>
      </c>
      <c r="D61" s="8">
        <f t="shared" si="4"/>
        <v>1566445.2822</v>
      </c>
      <c r="E61" s="8">
        <f t="shared" si="5"/>
        <v>102524.15000000001</v>
      </c>
      <c r="F61" s="8">
        <f t="shared" si="6"/>
        <v>1414683.8199999998</v>
      </c>
      <c r="G61" s="8">
        <f t="shared" si="7"/>
        <v>996320.51757353207</v>
      </c>
      <c r="H61" s="8">
        <f t="shared" si="8"/>
        <v>1174988.3044308871</v>
      </c>
      <c r="I61" s="8">
        <v>1062861</v>
      </c>
      <c r="J61" s="8">
        <f>SUMIF(Vandværker!$G:$G,'Costdrivere 2025'!$A61&amp;"_1",Vandværker!$F:$F)</f>
        <v>0</v>
      </c>
      <c r="K61" s="8">
        <f>SUMIF(Vandværker!$G:$G,'Costdrivere 2025'!$A61&amp;"_2",Vandværker!$F:$F)</f>
        <v>1037804</v>
      </c>
      <c r="L61" s="8">
        <f>SUMIF(Vandværker!$G:$G,'Costdrivere 2025'!$A61&amp;"_3",Vandværker!$F:$F)</f>
        <v>0</v>
      </c>
      <c r="M61" s="8">
        <f>SUMIF(Vandværker!$G:$G,'Costdrivere 2025'!$A61&amp;"_4",Vandværker!$F:$F)</f>
        <v>0</v>
      </c>
      <c r="N61" s="8"/>
      <c r="O61" s="8">
        <v>2</v>
      </c>
      <c r="P61" s="8"/>
      <c r="Q61" s="8"/>
      <c r="R61" s="8">
        <v>119</v>
      </c>
      <c r="S61" s="8">
        <v>7</v>
      </c>
      <c r="T61" s="8"/>
      <c r="U61" s="8">
        <v>1126</v>
      </c>
      <c r="V61" s="8">
        <v>7489</v>
      </c>
      <c r="W61" s="8">
        <v>955521</v>
      </c>
      <c r="X61" s="8">
        <v>955521</v>
      </c>
      <c r="Y61" s="8">
        <f t="shared" si="9"/>
        <v>1037804</v>
      </c>
      <c r="Z61" s="8">
        <v>8157</v>
      </c>
      <c r="AA61" s="8">
        <v>307.86900000000003</v>
      </c>
      <c r="AB61" s="8">
        <f t="shared" si="10"/>
        <v>2.6495035226021455E-2</v>
      </c>
      <c r="AC61" s="8">
        <v>1296267.2701840813</v>
      </c>
      <c r="AD61" s="8">
        <v>6357295.8795599993</v>
      </c>
      <c r="AE61" s="8">
        <v>153001.5</v>
      </c>
      <c r="AF61" s="8">
        <f t="shared" si="11"/>
        <v>7806564.6497440804</v>
      </c>
    </row>
    <row r="62" spans="1:32" x14ac:dyDescent="0.25">
      <c r="A62" s="5" t="s">
        <v>62</v>
      </c>
      <c r="B62" s="5" t="s">
        <v>217</v>
      </c>
      <c r="C62" s="8">
        <f t="shared" si="3"/>
        <v>916586.51422456943</v>
      </c>
      <c r="D62" s="8">
        <f t="shared" si="4"/>
        <v>2598700.5151999998</v>
      </c>
      <c r="E62" s="8">
        <f t="shared" si="5"/>
        <v>313593.75</v>
      </c>
      <c r="F62" s="8">
        <f t="shared" si="6"/>
        <v>3147887.95</v>
      </c>
      <c r="G62" s="8">
        <f t="shared" si="7"/>
        <v>1719602.79611874</v>
      </c>
      <c r="H62" s="8">
        <f t="shared" si="8"/>
        <v>2010534.5443805973</v>
      </c>
      <c r="I62" s="8">
        <v>1933869</v>
      </c>
      <c r="J62" s="8">
        <f>SUMIF(Vandværker!$G:$G,'Costdrivere 2025'!$A62&amp;"_1",Vandværker!$F:$F)</f>
        <v>0</v>
      </c>
      <c r="K62" s="8">
        <f>SUMIF(Vandværker!$G:$G,'Costdrivere 2025'!$A62&amp;"_2",Vandværker!$F:$F)</f>
        <v>1873909</v>
      </c>
      <c r="L62" s="8">
        <f>SUMIF(Vandværker!$G:$G,'Costdrivere 2025'!$A62&amp;"_3",Vandværker!$F:$F)</f>
        <v>0</v>
      </c>
      <c r="M62" s="8">
        <f>SUMIF(Vandværker!$G:$G,'Costdrivere 2025'!$A62&amp;"_4",Vandværker!$F:$F)</f>
        <v>0</v>
      </c>
      <c r="N62" s="8">
        <v>6</v>
      </c>
      <c r="O62" s="8">
        <v>10</v>
      </c>
      <c r="P62" s="8"/>
      <c r="Q62" s="8"/>
      <c r="R62" s="8">
        <v>186</v>
      </c>
      <c r="S62" s="8">
        <v>19</v>
      </c>
      <c r="T62" s="8"/>
      <c r="U62" s="8">
        <v>4349</v>
      </c>
      <c r="V62" s="8">
        <v>13686</v>
      </c>
      <c r="W62" s="8">
        <v>1737862</v>
      </c>
      <c r="X62" s="8">
        <v>1737862</v>
      </c>
      <c r="Y62" s="8">
        <f t="shared" si="9"/>
        <v>1873909</v>
      </c>
      <c r="Z62" s="8">
        <v>18360</v>
      </c>
      <c r="AA62" s="8">
        <v>418.60700000000003</v>
      </c>
      <c r="AB62" s="8">
        <f t="shared" si="10"/>
        <v>4.3859753898047575E-2</v>
      </c>
      <c r="AC62" s="8">
        <v>5384179.3890691819</v>
      </c>
      <c r="AD62" s="8">
        <v>11988105.827151664</v>
      </c>
      <c r="AE62" s="8">
        <v>1171906.8615119008</v>
      </c>
      <c r="AF62" s="8">
        <f t="shared" si="11"/>
        <v>18544192.077732746</v>
      </c>
    </row>
    <row r="63" spans="1:32" x14ac:dyDescent="0.25">
      <c r="A63" s="5" t="s">
        <v>63</v>
      </c>
      <c r="B63" s="5" t="s">
        <v>288</v>
      </c>
      <c r="C63" s="8">
        <f t="shared" si="3"/>
        <v>1207871.9431239476</v>
      </c>
      <c r="D63" s="8">
        <f t="shared" si="4"/>
        <v>3312238.8197999997</v>
      </c>
      <c r="E63" s="8">
        <f t="shared" si="5"/>
        <v>287842.95</v>
      </c>
      <c r="F63" s="8">
        <f t="shared" si="6"/>
        <v>3026490.1083999998</v>
      </c>
      <c r="G63" s="8">
        <f t="shared" si="7"/>
        <v>1982702.2647850611</v>
      </c>
      <c r="H63" s="8">
        <f t="shared" si="8"/>
        <v>2525344.0468123499</v>
      </c>
      <c r="I63" s="8">
        <v>2617124</v>
      </c>
      <c r="J63" s="8">
        <f>SUMIF(Vandværker!$G:$G,'Costdrivere 2025'!$A63&amp;"_1",Vandværker!$F:$F)</f>
        <v>0</v>
      </c>
      <c r="K63" s="8">
        <f>SUMIF(Vandværker!$G:$G,'Costdrivere 2025'!$A63&amp;"_2",Vandværker!$F:$F)</f>
        <v>2451860</v>
      </c>
      <c r="L63" s="8">
        <f>SUMIF(Vandværker!$G:$G,'Costdrivere 2025'!$A63&amp;"_3",Vandværker!$F:$F)</f>
        <v>0</v>
      </c>
      <c r="M63" s="8">
        <f>SUMIF(Vandværker!$G:$G,'Costdrivere 2025'!$A63&amp;"_4",Vandværker!$F:$F)</f>
        <v>0</v>
      </c>
      <c r="N63" s="8">
        <v>1</v>
      </c>
      <c r="O63" s="8">
        <v>12</v>
      </c>
      <c r="P63" s="8">
        <v>120</v>
      </c>
      <c r="Q63" s="8"/>
      <c r="R63" s="8">
        <v>266.58</v>
      </c>
      <c r="S63" s="8">
        <v>18.18</v>
      </c>
      <c r="T63" s="8"/>
      <c r="U63" s="8">
        <v>1582</v>
      </c>
      <c r="V63" s="8">
        <v>16017</v>
      </c>
      <c r="W63" s="8">
        <v>2240115</v>
      </c>
      <c r="X63" s="8">
        <v>2240115</v>
      </c>
      <c r="Y63" s="8">
        <f t="shared" si="9"/>
        <v>2451860</v>
      </c>
      <c r="Z63" s="8">
        <v>17726</v>
      </c>
      <c r="AA63" s="8">
        <v>395.26618466053196</v>
      </c>
      <c r="AB63" s="8">
        <f t="shared" si="10"/>
        <v>4.4845728493631928E-2</v>
      </c>
      <c r="AC63" s="8">
        <v>4206938.0472336598</v>
      </c>
      <c r="AD63" s="8">
        <v>12542859.047631534</v>
      </c>
      <c r="AE63" s="8">
        <v>1002588.3720930233</v>
      </c>
      <c r="AF63" s="8">
        <f t="shared" si="11"/>
        <v>17752385.466958217</v>
      </c>
    </row>
    <row r="64" spans="1:32" x14ac:dyDescent="0.25">
      <c r="A64" s="5" t="s">
        <v>64</v>
      </c>
      <c r="B64" s="5" t="s">
        <v>289</v>
      </c>
      <c r="C64" s="8">
        <f t="shared" si="3"/>
        <v>1490177.8984956783</v>
      </c>
      <c r="D64" s="8">
        <f t="shared" si="4"/>
        <v>4427855.2676999997</v>
      </c>
      <c r="E64" s="8">
        <f t="shared" si="5"/>
        <v>313593.75</v>
      </c>
      <c r="F64" s="8">
        <f t="shared" si="6"/>
        <v>3177437.9926999998</v>
      </c>
      <c r="G64" s="8">
        <f t="shared" si="7"/>
        <v>1662064.5173370324</v>
      </c>
      <c r="H64" s="8">
        <f t="shared" si="8"/>
        <v>3364264.0745526049</v>
      </c>
      <c r="I64" s="8">
        <v>3294824</v>
      </c>
      <c r="J64" s="8">
        <f>SUMIF(Vandværker!$G:$G,'Costdrivere 2025'!$A64&amp;"_1",Vandværker!$F:$F)</f>
        <v>2418392</v>
      </c>
      <c r="K64" s="8">
        <f>SUMIF(Vandværker!$G:$G,'Costdrivere 2025'!$A64&amp;"_2",Vandværker!$F:$F)</f>
        <v>599107</v>
      </c>
      <c r="L64" s="8">
        <f>SUMIF(Vandværker!$G:$G,'Costdrivere 2025'!$A64&amp;"_3",Vandværker!$F:$F)</f>
        <v>218299</v>
      </c>
      <c r="M64" s="8">
        <f>SUMIF(Vandværker!$G:$G,'Costdrivere 2025'!$A64&amp;"_4",Vandværker!$F:$F)</f>
        <v>0</v>
      </c>
      <c r="N64" s="8">
        <v>3</v>
      </c>
      <c r="O64" s="8">
        <v>13</v>
      </c>
      <c r="P64" s="8"/>
      <c r="Q64" s="8"/>
      <c r="R64" s="8">
        <v>221.97</v>
      </c>
      <c r="S64" s="8">
        <v>7.8</v>
      </c>
      <c r="T64" s="8"/>
      <c r="U64" s="8">
        <v>5039</v>
      </c>
      <c r="V64" s="8">
        <v>13181</v>
      </c>
      <c r="W64" s="8">
        <v>3083111</v>
      </c>
      <c r="X64" s="8">
        <v>3019954</v>
      </c>
      <c r="Y64" s="8">
        <f t="shared" si="9"/>
        <v>3235798</v>
      </c>
      <c r="Z64" s="8">
        <v>18399</v>
      </c>
      <c r="AA64" s="8">
        <v>889.72748557634861</v>
      </c>
      <c r="AB64" s="8">
        <f t="shared" si="10"/>
        <v>2.0679365646528808E-2</v>
      </c>
      <c r="AC64" s="8">
        <v>3509767.6746471412</v>
      </c>
      <c r="AD64" s="8">
        <v>19335801.543176271</v>
      </c>
      <c r="AE64" s="8">
        <v>477252.23065438133</v>
      </c>
      <c r="AF64" s="8">
        <f t="shared" si="11"/>
        <v>23322821.448477793</v>
      </c>
    </row>
    <row r="65" spans="1:32" x14ac:dyDescent="0.25">
      <c r="A65" s="5" t="s">
        <v>65</v>
      </c>
      <c r="B65" s="5" t="s">
        <v>641</v>
      </c>
      <c r="C65" s="8">
        <f t="shared" si="3"/>
        <v>5049958.7382205771</v>
      </c>
      <c r="D65" s="8">
        <f t="shared" si="4"/>
        <v>15347834.413899999</v>
      </c>
      <c r="E65" s="8">
        <f t="shared" si="5"/>
        <v>1514118.39</v>
      </c>
      <c r="F65" s="8">
        <f t="shared" si="6"/>
        <v>12002185.979999999</v>
      </c>
      <c r="G65" s="8">
        <f t="shared" si="7"/>
        <v>6009980.6681950428</v>
      </c>
      <c r="H65" s="8">
        <f t="shared" si="8"/>
        <v>10627402.854415156</v>
      </c>
      <c r="I65" s="8">
        <v>12559240</v>
      </c>
      <c r="J65" s="8">
        <f>SUMIF(Vandværker!$G:$G,'Costdrivere 2025'!$A65&amp;"_1",Vandværker!$F:$F)</f>
        <v>0</v>
      </c>
      <c r="K65" s="8">
        <f>SUMIF(Vandværker!$G:$G,'Costdrivere 2025'!$A65&amp;"_2",Vandværker!$F:$F)</f>
        <v>11769246</v>
      </c>
      <c r="L65" s="8">
        <f>SUMIF(Vandværker!$G:$G,'Costdrivere 2025'!$A65&amp;"_3",Vandværker!$F:$F)</f>
        <v>278499</v>
      </c>
      <c r="M65" s="8">
        <f>SUMIF(Vandværker!$G:$G,'Costdrivere 2025'!$A65&amp;"_4",Vandværker!$F:$F)</f>
        <v>0</v>
      </c>
      <c r="N65" s="8">
        <v>56</v>
      </c>
      <c r="O65" s="8">
        <v>10</v>
      </c>
      <c r="P65" s="8">
        <v>2752</v>
      </c>
      <c r="Q65" s="8"/>
      <c r="R65" s="8">
        <v>982</v>
      </c>
      <c r="S65" s="8">
        <v>116</v>
      </c>
      <c r="T65" s="8"/>
      <c r="U65" s="8">
        <v>2076</v>
      </c>
      <c r="V65" s="8">
        <v>54530</v>
      </c>
      <c r="W65" s="8">
        <v>11098557</v>
      </c>
      <c r="X65" s="8">
        <v>11098557</v>
      </c>
      <c r="Y65" s="8">
        <f t="shared" si="9"/>
        <v>12047745</v>
      </c>
      <c r="Z65" s="8">
        <v>119966</v>
      </c>
      <c r="AA65" s="8">
        <v>1520.143</v>
      </c>
      <c r="AB65" s="8">
        <f t="shared" si="10"/>
        <v>7.8917575517566438E-2</v>
      </c>
      <c r="AC65" s="8">
        <v>13417572.644406755</v>
      </c>
      <c r="AD65" s="8">
        <v>50352189.25886666</v>
      </c>
      <c r="AE65" s="8">
        <v>1452000</v>
      </c>
      <c r="AF65" s="8">
        <f t="shared" si="11"/>
        <v>65221761.903273419</v>
      </c>
    </row>
    <row r="66" spans="1:32" x14ac:dyDescent="0.25">
      <c r="A66" s="5" t="s">
        <v>66</v>
      </c>
      <c r="B66" s="5" t="s">
        <v>252</v>
      </c>
      <c r="C66" s="8">
        <f t="shared" si="3"/>
        <v>834661.89524293947</v>
      </c>
      <c r="D66" s="8">
        <f t="shared" si="4"/>
        <v>2113213.8188</v>
      </c>
      <c r="E66" s="8">
        <f t="shared" si="5"/>
        <v>102524.15000000001</v>
      </c>
      <c r="F66" s="8">
        <f t="shared" si="6"/>
        <v>2169727.7149999999</v>
      </c>
      <c r="G66" s="8">
        <f t="shared" si="7"/>
        <v>1262259.707716384</v>
      </c>
      <c r="H66" s="8">
        <f t="shared" si="8"/>
        <v>1812629.3637290688</v>
      </c>
      <c r="I66" s="8">
        <v>1745201</v>
      </c>
      <c r="J66" s="8">
        <f>SUMIF(Vandværker!$G:$G,'Costdrivere 2025'!$A66&amp;"_1",Vandværker!$F:$F)</f>
        <v>0</v>
      </c>
      <c r="K66" s="8">
        <f>SUMIF(Vandværker!$G:$G,'Costdrivere 2025'!$A66&amp;"_2",Vandværker!$F:$F)</f>
        <v>1480675</v>
      </c>
      <c r="L66" s="8">
        <f>SUMIF(Vandværker!$G:$G,'Costdrivere 2025'!$A66&amp;"_3",Vandværker!$F:$F)</f>
        <v>0</v>
      </c>
      <c r="M66" s="8">
        <f>SUMIF(Vandværker!$G:$G,'Costdrivere 2025'!$A66&amp;"_4",Vandværker!$F:$F)</f>
        <v>0</v>
      </c>
      <c r="N66" s="8"/>
      <c r="O66" s="8">
        <v>2</v>
      </c>
      <c r="P66" s="8"/>
      <c r="Q66" s="8"/>
      <c r="R66" s="8">
        <v>156.5</v>
      </c>
      <c r="S66" s="8"/>
      <c r="T66" s="8"/>
      <c r="U66" s="8">
        <v>4075</v>
      </c>
      <c r="V66" s="8">
        <v>9726</v>
      </c>
      <c r="W66" s="8">
        <v>1548464</v>
      </c>
      <c r="X66" s="8">
        <v>1560831</v>
      </c>
      <c r="Y66" s="8">
        <f t="shared" si="9"/>
        <v>1480675</v>
      </c>
      <c r="Z66" s="8">
        <v>9607</v>
      </c>
      <c r="AA66" s="8">
        <v>557.36800000000005</v>
      </c>
      <c r="AB66" s="8">
        <f t="shared" si="10"/>
        <v>1.7236368072799296E-2</v>
      </c>
      <c r="AC66" s="8">
        <v>4465730.0872235559</v>
      </c>
      <c r="AD66" s="8">
        <v>16849066.331875004</v>
      </c>
      <c r="AE66" s="8">
        <v>423000</v>
      </c>
      <c r="AF66" s="8">
        <f t="shared" si="11"/>
        <v>21737796.41909856</v>
      </c>
    </row>
    <row r="67" spans="1:32" x14ac:dyDescent="0.25">
      <c r="A67" s="5" t="s">
        <v>67</v>
      </c>
      <c r="B67" s="5" t="s">
        <v>218</v>
      </c>
      <c r="C67" s="8">
        <f t="shared" si="3"/>
        <v>339085.36399199907</v>
      </c>
      <c r="D67" s="8">
        <f t="shared" si="4"/>
        <v>1437713.3003</v>
      </c>
      <c r="E67" s="8">
        <f t="shared" si="5"/>
        <v>208395.15</v>
      </c>
      <c r="F67" s="8">
        <f t="shared" si="6"/>
        <v>2181963.1902999999</v>
      </c>
      <c r="G67" s="8">
        <f t="shared" si="7"/>
        <v>1282683.7732867422</v>
      </c>
      <c r="H67" s="8">
        <f t="shared" si="8"/>
        <v>3317449.9239490931</v>
      </c>
      <c r="I67" s="8">
        <v>650045</v>
      </c>
      <c r="J67" s="8">
        <f>SUMIF(Vandværker!$G:$G,'Costdrivere 2025'!$A67&amp;"_1",Vandværker!$F:$F)</f>
        <v>0</v>
      </c>
      <c r="K67" s="8">
        <f>SUMIF(Vandværker!$G:$G,'Costdrivere 2025'!$A67&amp;"_2",Vandværker!$F:$F)</f>
        <v>0</v>
      </c>
      <c r="L67" s="8">
        <f>SUMIF(Vandværker!$G:$G,'Costdrivere 2025'!$A67&amp;"_3",Vandværker!$F:$F)</f>
        <v>602951</v>
      </c>
      <c r="M67" s="8">
        <f>SUMIF(Vandværker!$G:$G,'Costdrivere 2025'!$A67&amp;"_4",Vandværker!$F:$F)</f>
        <v>0</v>
      </c>
      <c r="N67" s="8"/>
      <c r="O67" s="8"/>
      <c r="P67" s="8">
        <v>300</v>
      </c>
      <c r="Q67" s="8">
        <v>1330</v>
      </c>
      <c r="R67" s="8">
        <v>130.28</v>
      </c>
      <c r="S67" s="8">
        <v>31.85</v>
      </c>
      <c r="T67" s="8"/>
      <c r="U67" s="8">
        <v>236</v>
      </c>
      <c r="V67" s="8">
        <v>9900</v>
      </c>
      <c r="W67" s="8">
        <v>3035374</v>
      </c>
      <c r="X67" s="8">
        <v>2374043</v>
      </c>
      <c r="Y67" s="8">
        <f t="shared" ref="Y67:Y77" si="12">SUM(J67:M67)</f>
        <v>602951</v>
      </c>
      <c r="Z67" s="8">
        <v>21086</v>
      </c>
      <c r="AA67" s="8">
        <v>178.8998</v>
      </c>
      <c r="AB67" s="8">
        <f t="shared" ref="AB67:AB77" si="13">IF(AA67&gt;0,Z67/AA67/1000,0)</f>
        <v>0.1178648606650203</v>
      </c>
      <c r="AC67" s="8">
        <v>1082260.9042526218</v>
      </c>
      <c r="AD67" s="8">
        <v>7407706.105292798</v>
      </c>
      <c r="AE67" s="8">
        <v>337108</v>
      </c>
      <c r="AF67" s="8">
        <f t="shared" ref="AF67:AF77" si="14">SUM(AC67:AE67)</f>
        <v>8827075.0095454194</v>
      </c>
    </row>
    <row r="68" spans="1:32" x14ac:dyDescent="0.25">
      <c r="A68" s="5" t="s">
        <v>68</v>
      </c>
      <c r="B68" s="5" t="s">
        <v>558</v>
      </c>
      <c r="C68" s="8">
        <f>1.6917 * (I68 ^ 0.9121)</f>
        <v>817318.55421067949</v>
      </c>
      <c r="D68" s="8">
        <f>IF(SUM(J68:M68)=0,0,285172.4638+1.2346*(J68+K68)+1.9115*L68+1.4292*M68)</f>
        <v>2431053.2593</v>
      </c>
      <c r="E68" s="8">
        <f>IF(SUM(N68:Q68)=0,0,72371.35+15076.4*(N68+O68)+162.32*P68+65.66*Q68)</f>
        <v>182023.55</v>
      </c>
      <c r="F68" s="8">
        <f>IF(SUM(R68:U68)=0,0,7395.11*R68+36417.47*(S68+T68)+248.44*U68)</f>
        <v>2594628.0830000001</v>
      </c>
      <c r="G68" s="8">
        <f>IF(V68=0,0,309.935*V68^0.9052)</f>
        <v>1603973.1238740748</v>
      </c>
      <c r="H68" s="8">
        <f>1.1738*4.2676*W68^0.898</f>
        <v>3476025.3083615969</v>
      </c>
      <c r="I68" s="8">
        <v>1705483</v>
      </c>
      <c r="J68" s="8">
        <f>SUMIF(Vandværker!$G:$G,'Costdrivere 2025'!$A68&amp;"_1",Vandværker!$F:$F)</f>
        <v>0</v>
      </c>
      <c r="K68" s="8">
        <f>SUMIF(Vandværker!$G:$G,'Costdrivere 2025'!$A68&amp;"_2",Vandværker!$F:$F)</f>
        <v>1396205</v>
      </c>
      <c r="L68" s="8">
        <f>SUMIF(Vandværker!$G:$G,'Costdrivere 2025'!$A68&amp;"_3",Vandværker!$F:$F)</f>
        <v>220835</v>
      </c>
      <c r="M68" s="8">
        <f>SUMIF(Vandværker!$G:$G,'Costdrivere 2025'!$A68&amp;"_4",Vandværker!$F:$F)</f>
        <v>0</v>
      </c>
      <c r="N68" s="8"/>
      <c r="O68" s="8"/>
      <c r="P68" s="8"/>
      <c r="Q68" s="8">
        <v>1670</v>
      </c>
      <c r="R68" s="8">
        <v>214.7</v>
      </c>
      <c r="S68" s="8">
        <v>25.8</v>
      </c>
      <c r="T68" s="8"/>
      <c r="U68" s="8">
        <v>271</v>
      </c>
      <c r="V68" s="8">
        <v>12673</v>
      </c>
      <c r="W68" s="8">
        <v>3197379</v>
      </c>
      <c r="X68" s="8">
        <v>3197379</v>
      </c>
      <c r="Y68" s="8">
        <f t="shared" si="12"/>
        <v>1617040</v>
      </c>
      <c r="Z68" s="8">
        <v>38790</v>
      </c>
      <c r="AA68" s="8">
        <v>282.20302908788995</v>
      </c>
      <c r="AB68" s="8">
        <f t="shared" si="13"/>
        <v>0.13745422976278243</v>
      </c>
      <c r="AC68" s="8">
        <v>2286526.0985099212</v>
      </c>
      <c r="AD68" s="8">
        <v>10238076.482503423</v>
      </c>
      <c r="AE68" s="8">
        <v>1443172.7880000002</v>
      </c>
      <c r="AF68" s="8">
        <f t="shared" si="14"/>
        <v>13967775.369013345</v>
      </c>
    </row>
    <row r="69" spans="1:32" x14ac:dyDescent="0.25">
      <c r="A69" s="5" t="s">
        <v>69</v>
      </c>
      <c r="B69" s="5" t="s">
        <v>655</v>
      </c>
      <c r="C69" s="8">
        <f>1.6917 * (I69 ^ 0.9121)</f>
        <v>797072.38677638071</v>
      </c>
      <c r="D69" s="8">
        <f>IF(SUM(J69:M69)=0,0,285172.4638+1.2346*(J69+K69)+1.9115*L69+1.4292*M69)</f>
        <v>2677315.9071999998</v>
      </c>
      <c r="E69" s="8">
        <f>IF(SUM(N69:Q69)=0,0,72371.35+15076.4*(N69+O69)+162.32*P69+65.66*Q69)</f>
        <v>303243.99</v>
      </c>
      <c r="F69" s="8">
        <f>IF(SUM(R69:U69)=0,0,7395.11*R69+36417.47*(S69+T69)+248.44*U69)</f>
        <v>2003943.5301999999</v>
      </c>
      <c r="G69" s="8">
        <f>IF(V69=0,0,309.935*V69^0.9052)</f>
        <v>1003182.3225360261</v>
      </c>
      <c r="H69" s="8">
        <f>1.1738*4.2676*W69^0.898</f>
        <v>1791109.4082706003</v>
      </c>
      <c r="I69" s="8">
        <v>1659220</v>
      </c>
      <c r="J69" s="8">
        <f>SUMIF(Vandværker!$G:$G,'Costdrivere 2025'!$A69&amp;"_1",Vandværker!$F:$F)</f>
        <v>389592</v>
      </c>
      <c r="K69" s="8">
        <f>SUMIF(Vandværker!$G:$G,'Costdrivere 2025'!$A69&amp;"_2",Vandværker!$F:$F)</f>
        <v>742572</v>
      </c>
      <c r="L69" s="8">
        <f>SUMIF(Vandværker!$G:$G,'Costdrivere 2025'!$A69&amp;"_3",Vandværker!$F:$F)</f>
        <v>520206</v>
      </c>
      <c r="M69" s="8">
        <f>SUMIF(Vandværker!$G:$G,'Costdrivere 2025'!$A69&amp;"_4",Vandværker!$F:$F)</f>
        <v>0</v>
      </c>
      <c r="N69" s="8">
        <v>2</v>
      </c>
      <c r="O69" s="8">
        <v>12</v>
      </c>
      <c r="P69" s="8">
        <v>122</v>
      </c>
      <c r="Q69" s="8"/>
      <c r="R69" s="8">
        <v>154.88999999999999</v>
      </c>
      <c r="S69" s="8">
        <v>11.09</v>
      </c>
      <c r="T69" s="8"/>
      <c r="U69" s="8">
        <v>1830</v>
      </c>
      <c r="V69" s="8">
        <v>7546</v>
      </c>
      <c r="W69" s="8">
        <v>1528006</v>
      </c>
      <c r="X69" s="8">
        <v>1528006</v>
      </c>
      <c r="Y69" s="8">
        <f t="shared" si="12"/>
        <v>1652370</v>
      </c>
      <c r="Z69" s="8">
        <v>12200</v>
      </c>
      <c r="AA69" s="8">
        <v>328.16</v>
      </c>
      <c r="AB69" s="8">
        <f t="shared" si="13"/>
        <v>3.7176986835689901E-2</v>
      </c>
      <c r="AC69" s="8">
        <v>3446914.9723456316</v>
      </c>
      <c r="AD69" s="8">
        <v>7733837.242863331</v>
      </c>
      <c r="AE69" s="8">
        <v>433000</v>
      </c>
      <c r="AF69" s="8">
        <f t="shared" si="14"/>
        <v>11613752.215208963</v>
      </c>
    </row>
    <row r="70" spans="1:32" x14ac:dyDescent="0.25">
      <c r="A70" s="5" t="s">
        <v>70</v>
      </c>
      <c r="B70" s="5" t="s">
        <v>219</v>
      </c>
      <c r="C70" s="8">
        <f>1.6917 * (I70 ^ 0.9121)</f>
        <v>4204253.1646916308</v>
      </c>
      <c r="D70" s="8">
        <f>IF(SUM(J70:M70)=0,0,285172.4638+1.2346*(J70+K70)+1.9115*L70+1.4292*M70)</f>
        <v>19116998.7546</v>
      </c>
      <c r="E70" s="8">
        <f>IF(SUM(N70:Q70)=0,0,72371.35+15076.4*(N70+O70)+162.32*P70+65.66*Q70)</f>
        <v>984285.19</v>
      </c>
      <c r="F70" s="8">
        <f>IF(SUM(R70:U70)=0,0,7395.11*R70+36417.47*(S70+T70)+248.44*U70)</f>
        <v>11598765.6087</v>
      </c>
      <c r="G70" s="8">
        <f>IF(V70=0,0,309.935*V70^0.9052)</f>
        <v>6139331.9512520768</v>
      </c>
      <c r="H70" s="8">
        <f>1.1738*4.2676*W70^0.898</f>
        <v>9121159.6883093361</v>
      </c>
      <c r="I70" s="8">
        <v>10272907</v>
      </c>
      <c r="J70" s="8">
        <f>SUMIF(Vandværker!$G:$G,'Costdrivere 2025'!$A70&amp;"_1",Vandværker!$F:$F)</f>
        <v>0</v>
      </c>
      <c r="K70" s="8">
        <f>SUMIF(Vandværker!$G:$G,'Costdrivere 2025'!$A70&amp;"_2",Vandværker!$F:$F)</f>
        <v>406778</v>
      </c>
      <c r="L70" s="8">
        <f>SUMIF(Vandværker!$G:$G,'Costdrivere 2025'!$A70&amp;"_3",Vandværker!$F:$F)</f>
        <v>9589128</v>
      </c>
      <c r="M70" s="8">
        <f>SUMIF(Vandværker!$G:$G,'Costdrivere 2025'!$A70&amp;"_4",Vandværker!$F:$F)</f>
        <v>0</v>
      </c>
      <c r="N70" s="8">
        <v>2</v>
      </c>
      <c r="O70" s="8">
        <v>9</v>
      </c>
      <c r="P70" s="8">
        <v>1967</v>
      </c>
      <c r="Q70" s="8">
        <v>6500</v>
      </c>
      <c r="R70" s="8">
        <v>609.66999999999996</v>
      </c>
      <c r="S70" s="8">
        <v>132.1</v>
      </c>
      <c r="T70" s="8">
        <v>40.4</v>
      </c>
      <c r="U70" s="8">
        <v>3253</v>
      </c>
      <c r="V70" s="8">
        <v>55828</v>
      </c>
      <c r="W70" s="8">
        <v>9361597</v>
      </c>
      <c r="X70" s="8">
        <v>9361597</v>
      </c>
      <c r="Y70" s="8">
        <f t="shared" si="12"/>
        <v>9995906</v>
      </c>
      <c r="Z70" s="8">
        <v>120142</v>
      </c>
      <c r="AA70" s="8">
        <v>1090.2349999999999</v>
      </c>
      <c r="AB70" s="8">
        <f t="shared" si="13"/>
        <v>0.11019826000816339</v>
      </c>
      <c r="AC70" s="8">
        <v>13529444.057585303</v>
      </c>
      <c r="AD70" s="8">
        <v>42474115.7028846</v>
      </c>
      <c r="AE70" s="8">
        <v>2657150.625</v>
      </c>
      <c r="AF70" s="8">
        <f t="shared" si="14"/>
        <v>58660710.385469899</v>
      </c>
    </row>
    <row r="71" spans="1:32" x14ac:dyDescent="0.25">
      <c r="A71" s="5" t="s">
        <v>72</v>
      </c>
      <c r="B71" s="5" t="s">
        <v>71</v>
      </c>
      <c r="C71" s="8">
        <f t="shared" ref="C71:C77" si="15">1.6917 * (I71 ^ 0.9121)</f>
        <v>0</v>
      </c>
      <c r="D71" s="8">
        <f t="shared" ref="D71:D77" si="16">IF(SUM(J71:M71)=0,0,285172.4638+1.2346*(J71+K71)+1.9115*L71+1.4292*M71)</f>
        <v>0</v>
      </c>
      <c r="E71" s="8">
        <f t="shared" ref="E71:E77" si="17">IF(SUM(N71:Q71)=0,0,72371.35+15076.4*(N71+O71)+162.32*P71+65.66*Q71)</f>
        <v>343746.55000000005</v>
      </c>
      <c r="F71" s="8">
        <f t="shared" ref="F71:F77" si="18">IF(SUM(R71:U71)=0,0,7395.11*R71+36417.47*(S71+T71)+248.44*U71)</f>
        <v>2484.4</v>
      </c>
      <c r="G71" s="8">
        <f t="shared" ref="G71:G77" si="19">IF(V71=0,0,309.935*V71^0.9052)</f>
        <v>309.935</v>
      </c>
      <c r="H71" s="8">
        <f t="shared" ref="H71:H77" si="20">1.1738*4.2676*W71^0.898</f>
        <v>1614596.7228656115</v>
      </c>
      <c r="I71" s="8"/>
      <c r="J71" s="8">
        <f>SUMIF(Vandværker!$G:$G,'Costdrivere 2025'!$A71&amp;"_1",Vandværker!$F:$F)</f>
        <v>0</v>
      </c>
      <c r="K71" s="8">
        <f>SUMIF(Vandværker!$G:$G,'Costdrivere 2025'!$A71&amp;"_2",Vandværker!$F:$F)</f>
        <v>0</v>
      </c>
      <c r="L71" s="8">
        <f>SUMIF(Vandværker!$G:$G,'Costdrivere 2025'!$A71&amp;"_3",Vandværker!$F:$F)</f>
        <v>0</v>
      </c>
      <c r="M71" s="8">
        <f>SUMIF(Vandværker!$G:$G,'Costdrivere 2025'!$A71&amp;"_4",Vandværker!$F:$F)</f>
        <v>0</v>
      </c>
      <c r="N71" s="8">
        <v>9</v>
      </c>
      <c r="O71" s="8">
        <v>9</v>
      </c>
      <c r="P71" s="8"/>
      <c r="Q71" s="8"/>
      <c r="R71" s="8"/>
      <c r="S71" s="8"/>
      <c r="T71" s="8"/>
      <c r="U71" s="8">
        <v>10</v>
      </c>
      <c r="V71" s="8">
        <v>1</v>
      </c>
      <c r="W71" s="8">
        <v>1361285</v>
      </c>
      <c r="X71" s="8">
        <v>1361285</v>
      </c>
      <c r="Y71" s="8">
        <f t="shared" si="12"/>
        <v>0</v>
      </c>
      <c r="Z71" s="8"/>
      <c r="AA71" s="8">
        <v>23.658000000000001</v>
      </c>
      <c r="AB71" s="8">
        <f t="shared" si="13"/>
        <v>0</v>
      </c>
      <c r="AC71" s="8">
        <v>0</v>
      </c>
      <c r="AD71" s="8">
        <v>921895.88192669954</v>
      </c>
      <c r="AE71" s="8">
        <v>50000</v>
      </c>
      <c r="AF71" s="8">
        <f t="shared" si="14"/>
        <v>971895.88192669954</v>
      </c>
    </row>
    <row r="72" spans="1:32" x14ac:dyDescent="0.25">
      <c r="A72" s="5" t="s">
        <v>73</v>
      </c>
      <c r="B72" s="5" t="s">
        <v>220</v>
      </c>
      <c r="C72" s="8">
        <f t="shared" si="15"/>
        <v>529853.45953520422</v>
      </c>
      <c r="D72" s="8">
        <f t="shared" si="16"/>
        <v>1858344.9333000001</v>
      </c>
      <c r="E72" s="8">
        <f t="shared" si="17"/>
        <v>136955.35</v>
      </c>
      <c r="F72" s="8">
        <f t="shared" si="18"/>
        <v>796788.26529999997</v>
      </c>
      <c r="G72" s="8">
        <f t="shared" si="19"/>
        <v>720126.27397960273</v>
      </c>
      <c r="H72" s="8">
        <f t="shared" si="20"/>
        <v>1244118.416710655</v>
      </c>
      <c r="I72" s="8">
        <v>1060404</v>
      </c>
      <c r="J72" s="8">
        <f>SUMIF(Vandværker!$G:$G,'Costdrivere 2025'!$A72&amp;"_1",Vandværker!$F:$F)</f>
        <v>0</v>
      </c>
      <c r="K72" s="8">
        <f>SUMIF(Vandværker!$G:$G,'Costdrivere 2025'!$A72&amp;"_2",Vandværker!$F:$F)</f>
        <v>645075</v>
      </c>
      <c r="L72" s="8">
        <f>SUMIF(Vandværker!$G:$G,'Costdrivere 2025'!$A72&amp;"_3",Vandværker!$F:$F)</f>
        <v>406363</v>
      </c>
      <c r="M72" s="8">
        <f>SUMIF(Vandværker!$G:$G,'Costdrivere 2025'!$A72&amp;"_4",Vandværker!$F:$F)</f>
        <v>0</v>
      </c>
      <c r="N72" s="8">
        <v>1</v>
      </c>
      <c r="O72" s="8"/>
      <c r="P72" s="8">
        <v>305</v>
      </c>
      <c r="Q72" s="8"/>
      <c r="R72" s="8">
        <v>97.23</v>
      </c>
      <c r="S72" s="8"/>
      <c r="T72" s="8"/>
      <c r="U72" s="8">
        <v>313</v>
      </c>
      <c r="V72" s="8">
        <v>5232</v>
      </c>
      <c r="W72" s="8">
        <v>1018330</v>
      </c>
      <c r="X72" s="8">
        <v>1018330</v>
      </c>
      <c r="Y72" s="8">
        <f t="shared" si="12"/>
        <v>1051438</v>
      </c>
      <c r="Z72" s="8">
        <v>5622</v>
      </c>
      <c r="AA72" s="8">
        <v>182.8405994841458</v>
      </c>
      <c r="AB72" s="8">
        <f t="shared" si="13"/>
        <v>3.0748094328401535E-2</v>
      </c>
      <c r="AC72" s="8">
        <v>2307584.5832900838</v>
      </c>
      <c r="AD72" s="8">
        <v>5008354.3082556203</v>
      </c>
      <c r="AE72" s="8">
        <v>448000</v>
      </c>
      <c r="AF72" s="8">
        <f t="shared" si="14"/>
        <v>7763938.8915457036</v>
      </c>
    </row>
    <row r="73" spans="1:32" x14ac:dyDescent="0.25">
      <c r="A73" s="5" t="s">
        <v>74</v>
      </c>
      <c r="B73" s="5" t="s">
        <v>253</v>
      </c>
      <c r="C73" s="8">
        <f t="shared" si="15"/>
        <v>1124190.0927603289</v>
      </c>
      <c r="D73" s="8">
        <f t="shared" si="16"/>
        <v>3243107.3928</v>
      </c>
      <c r="E73" s="8">
        <f t="shared" si="17"/>
        <v>465406.39</v>
      </c>
      <c r="F73" s="8">
        <f t="shared" si="18"/>
        <v>3703162.4879999999</v>
      </c>
      <c r="G73" s="8">
        <f t="shared" si="19"/>
        <v>1739494.5061065936</v>
      </c>
      <c r="H73" s="8">
        <f t="shared" si="20"/>
        <v>2612336.0475334749</v>
      </c>
      <c r="I73" s="8">
        <v>2419013</v>
      </c>
      <c r="J73" s="8">
        <f>SUMIF(Vandværker!$G:$G,'Costdrivere 2025'!$A73&amp;"_1",Vandværker!$F:$F)</f>
        <v>1231625</v>
      </c>
      <c r="K73" s="8">
        <f>SUMIF(Vandværker!$G:$G,'Costdrivere 2025'!$A73&amp;"_2",Vandværker!$F:$F)</f>
        <v>1164240</v>
      </c>
      <c r="L73" s="8">
        <f>SUMIF(Vandværker!$G:$G,'Costdrivere 2025'!$A73&amp;"_3",Vandværker!$F:$F)</f>
        <v>0</v>
      </c>
      <c r="M73" s="8">
        <f>SUMIF(Vandværker!$G:$G,'Costdrivere 2025'!$A73&amp;"_4",Vandværker!$F:$F)</f>
        <v>0</v>
      </c>
      <c r="N73" s="8">
        <v>7</v>
      </c>
      <c r="O73" s="8">
        <v>3</v>
      </c>
      <c r="P73" s="8">
        <v>1156</v>
      </c>
      <c r="Q73" s="8">
        <v>832</v>
      </c>
      <c r="R73" s="8">
        <v>232.14</v>
      </c>
      <c r="S73" s="8">
        <v>44.58</v>
      </c>
      <c r="T73" s="8"/>
      <c r="U73" s="8">
        <v>1461</v>
      </c>
      <c r="V73" s="8">
        <v>13861</v>
      </c>
      <c r="W73" s="8">
        <v>2326213</v>
      </c>
      <c r="X73" s="8">
        <v>2326213</v>
      </c>
      <c r="Y73" s="8">
        <f t="shared" si="12"/>
        <v>2395865</v>
      </c>
      <c r="Z73" s="8">
        <v>55897</v>
      </c>
      <c r="AA73" s="8">
        <v>386.202</v>
      </c>
      <c r="AB73" s="8">
        <f t="shared" si="13"/>
        <v>0.14473513860622161</v>
      </c>
      <c r="AC73" s="8">
        <v>2840013.3847409957</v>
      </c>
      <c r="AD73" s="8">
        <v>12079255.800729999</v>
      </c>
      <c r="AE73" s="8">
        <v>339268.20991009823</v>
      </c>
      <c r="AF73" s="8">
        <f t="shared" si="14"/>
        <v>15258537.395381093</v>
      </c>
    </row>
    <row r="74" spans="1:32" x14ac:dyDescent="0.25">
      <c r="A74" s="5" t="s">
        <v>75</v>
      </c>
      <c r="B74" s="5" t="s">
        <v>254</v>
      </c>
      <c r="C74" s="8">
        <f t="shared" si="15"/>
        <v>1685809.925244821</v>
      </c>
      <c r="D74" s="8">
        <f t="shared" si="16"/>
        <v>7401566.5393000003</v>
      </c>
      <c r="E74" s="8">
        <f t="shared" si="17"/>
        <v>513048.51</v>
      </c>
      <c r="F74" s="8">
        <f t="shared" si="18"/>
        <v>5599097.3930000011</v>
      </c>
      <c r="G74" s="8">
        <f t="shared" si="19"/>
        <v>2430203.1535467156</v>
      </c>
      <c r="H74" s="8">
        <f t="shared" si="20"/>
        <v>3626241.227270538</v>
      </c>
      <c r="I74" s="8">
        <v>3771945</v>
      </c>
      <c r="J74" s="8">
        <f>SUMIF(Vandværker!$G:$G,'Costdrivere 2025'!$A74&amp;"_1",Vandværker!$F:$F)</f>
        <v>0</v>
      </c>
      <c r="K74" s="8">
        <f>SUMIF(Vandværker!$G:$G,'Costdrivere 2025'!$A74&amp;"_2",Vandværker!$F:$F)</f>
        <v>0</v>
      </c>
      <c r="L74" s="8">
        <f>SUMIF(Vandværker!$G:$G,'Costdrivere 2025'!$A74&amp;"_3",Vandværker!$F:$F)</f>
        <v>3722937</v>
      </c>
      <c r="M74" s="8">
        <f>SUMIF(Vandværker!$G:$G,'Costdrivere 2025'!$A74&amp;"_4",Vandværker!$F:$F)</f>
        <v>0</v>
      </c>
      <c r="N74" s="8"/>
      <c r="O74" s="8">
        <v>16</v>
      </c>
      <c r="P74" s="8">
        <v>639</v>
      </c>
      <c r="Q74" s="8">
        <v>1458</v>
      </c>
      <c r="R74" s="8">
        <v>450.6</v>
      </c>
      <c r="S74" s="8">
        <v>44.1</v>
      </c>
      <c r="T74" s="8"/>
      <c r="U74" s="8">
        <v>2660</v>
      </c>
      <c r="V74" s="8">
        <v>20055</v>
      </c>
      <c r="W74" s="8">
        <v>3351620.8</v>
      </c>
      <c r="X74" s="8">
        <v>3351000</v>
      </c>
      <c r="Y74" s="8">
        <f t="shared" si="12"/>
        <v>3722937</v>
      </c>
      <c r="Z74" s="8">
        <v>30038</v>
      </c>
      <c r="AA74" s="8">
        <v>1134.6942900000001</v>
      </c>
      <c r="AB74" s="8">
        <f t="shared" si="13"/>
        <v>2.6472328507090657E-2</v>
      </c>
      <c r="AC74" s="8">
        <v>7560077.9948743936</v>
      </c>
      <c r="AD74" s="8">
        <v>23409264.499551665</v>
      </c>
      <c r="AE74" s="8">
        <v>2134000</v>
      </c>
      <c r="AF74" s="8">
        <f t="shared" si="14"/>
        <v>33103342.494426057</v>
      </c>
    </row>
    <row r="75" spans="1:32" x14ac:dyDescent="0.25">
      <c r="A75" s="5" t="s">
        <v>76</v>
      </c>
      <c r="B75" s="5" t="s">
        <v>571</v>
      </c>
      <c r="C75" s="8">
        <f t="shared" si="15"/>
        <v>599739.96148263779</v>
      </c>
      <c r="D75" s="8">
        <f t="shared" si="16"/>
        <v>1947321.6999000001</v>
      </c>
      <c r="E75" s="8">
        <f t="shared" si="17"/>
        <v>311428.04599999997</v>
      </c>
      <c r="F75" s="8">
        <f t="shared" si="18"/>
        <v>1857384.9310000001</v>
      </c>
      <c r="G75" s="8">
        <f t="shared" si="19"/>
        <v>1295577.9545293751</v>
      </c>
      <c r="H75" s="8">
        <f t="shared" si="20"/>
        <v>1293448.5894778331</v>
      </c>
      <c r="I75" s="8">
        <v>1214686</v>
      </c>
      <c r="J75" s="8">
        <f>SUMIF(Vandværker!$G:$G,'Costdrivere 2025'!$A75&amp;"_1",Vandværker!$F:$F)</f>
        <v>0</v>
      </c>
      <c r="K75" s="8">
        <f>SUMIF(Vandværker!$G:$G,'Costdrivere 2025'!$A75&amp;"_2",Vandværker!$F:$F)</f>
        <v>817841</v>
      </c>
      <c r="L75" s="8">
        <f>SUMIF(Vandværker!$G:$G,'Costdrivere 2025'!$A75&amp;"_3",Vandværker!$F:$F)</f>
        <v>341325</v>
      </c>
      <c r="M75" s="8">
        <f>SUMIF(Vandværker!$G:$G,'Costdrivere 2025'!$A75&amp;"_4",Vandværker!$F:$F)</f>
        <v>0</v>
      </c>
      <c r="N75" s="8">
        <v>1</v>
      </c>
      <c r="O75" s="8">
        <v>12</v>
      </c>
      <c r="P75" s="8">
        <v>265.3</v>
      </c>
      <c r="Q75" s="8"/>
      <c r="R75" s="8">
        <v>162.19999999999999</v>
      </c>
      <c r="S75" s="8">
        <v>6.7</v>
      </c>
      <c r="T75" s="8"/>
      <c r="U75" s="8">
        <v>1666</v>
      </c>
      <c r="V75" s="8">
        <v>10010</v>
      </c>
      <c r="W75" s="8">
        <v>1063393.8999999999</v>
      </c>
      <c r="X75" s="8">
        <v>1063874.8999999999</v>
      </c>
      <c r="Y75" s="8">
        <f t="shared" si="12"/>
        <v>1159166</v>
      </c>
      <c r="Z75" s="8">
        <v>13125</v>
      </c>
      <c r="AA75" s="8">
        <v>338.75397618878617</v>
      </c>
      <c r="AB75" s="8">
        <f t="shared" si="13"/>
        <v>3.8744932672570294E-2</v>
      </c>
      <c r="AC75" s="8">
        <v>4073203.7777890489</v>
      </c>
      <c r="AD75" s="8">
        <v>11212850.274045259</v>
      </c>
      <c r="AE75" s="8">
        <v>171000</v>
      </c>
      <c r="AF75" s="8">
        <f t="shared" si="14"/>
        <v>15457054.051834308</v>
      </c>
    </row>
    <row r="76" spans="1:32" x14ac:dyDescent="0.25">
      <c r="A76" s="5" t="s">
        <v>77</v>
      </c>
      <c r="B76" s="5" t="s">
        <v>666</v>
      </c>
      <c r="C76" s="8">
        <f t="shared" si="15"/>
        <v>3222159.473916363</v>
      </c>
      <c r="D76" s="8">
        <f t="shared" si="16"/>
        <v>8856508.8929999992</v>
      </c>
      <c r="E76" s="8">
        <f t="shared" si="17"/>
        <v>653901.35</v>
      </c>
      <c r="F76" s="8">
        <f t="shared" si="18"/>
        <v>7600644.4050000003</v>
      </c>
      <c r="G76" s="8">
        <f t="shared" si="19"/>
        <v>2959263.4422521628</v>
      </c>
      <c r="H76" s="8">
        <f t="shared" si="20"/>
        <v>6742567.9747327967</v>
      </c>
      <c r="I76" s="8">
        <v>7673909</v>
      </c>
      <c r="J76" s="8">
        <f>SUMIF(Vandværker!$G:$G,'Costdrivere 2025'!$A76&amp;"_1",Vandværker!$F:$F)</f>
        <v>2593604</v>
      </c>
      <c r="K76" s="8">
        <f>SUMIF(Vandværker!$G:$G,'Costdrivere 2025'!$A76&amp;"_2",Vandværker!$F:$F)</f>
        <v>4348998</v>
      </c>
      <c r="L76" s="8">
        <f>SUMIF(Vandværker!$G:$G,'Costdrivere 2025'!$A76&amp;"_3",Vandværker!$F:$F)</f>
        <v>0</v>
      </c>
      <c r="M76" s="8">
        <f>SUMIF(Vandværker!$G:$G,'Costdrivere 2025'!$A76&amp;"_4",Vandværker!$F:$F)</f>
        <v>0</v>
      </c>
      <c r="N76" s="8">
        <v>10</v>
      </c>
      <c r="O76" s="8">
        <v>10</v>
      </c>
      <c r="P76" s="8">
        <v>1725</v>
      </c>
      <c r="Q76" s="8"/>
      <c r="R76" s="8">
        <v>502.65</v>
      </c>
      <c r="S76" s="8">
        <v>26.89</v>
      </c>
      <c r="T76" s="8">
        <v>52.16</v>
      </c>
      <c r="U76" s="8">
        <v>4044</v>
      </c>
      <c r="V76" s="8">
        <v>24930</v>
      </c>
      <c r="W76" s="8">
        <v>6686825</v>
      </c>
      <c r="X76" s="8">
        <v>6686825</v>
      </c>
      <c r="Y76" s="8">
        <f t="shared" si="12"/>
        <v>6942602</v>
      </c>
      <c r="Z76" s="8">
        <v>96381</v>
      </c>
      <c r="AA76" s="8">
        <v>759.73318000000006</v>
      </c>
      <c r="AB76" s="8">
        <f t="shared" si="13"/>
        <v>0.12686164371549494</v>
      </c>
      <c r="AC76" s="8">
        <v>11094395.658393014</v>
      </c>
      <c r="AD76" s="8">
        <v>31244739.172123335</v>
      </c>
      <c r="AE76" s="8">
        <v>1906000</v>
      </c>
      <c r="AF76" s="8">
        <f t="shared" si="14"/>
        <v>44245134.830516353</v>
      </c>
    </row>
    <row r="77" spans="1:32" x14ac:dyDescent="0.25">
      <c r="A77" s="5" t="s">
        <v>78</v>
      </c>
      <c r="B77" s="5" t="s">
        <v>255</v>
      </c>
      <c r="C77" s="8">
        <f t="shared" si="15"/>
        <v>6337053.2517057545</v>
      </c>
      <c r="D77" s="8">
        <f t="shared" si="16"/>
        <v>20438694.767300002</v>
      </c>
      <c r="E77" s="8">
        <f t="shared" si="17"/>
        <v>1309952.8699999999</v>
      </c>
      <c r="F77" s="8">
        <f t="shared" si="18"/>
        <v>15723404.189999999</v>
      </c>
      <c r="G77" s="8">
        <f t="shared" si="19"/>
        <v>7724321.9152486185</v>
      </c>
      <c r="H77" s="8">
        <f t="shared" si="20"/>
        <v>13688829.388977472</v>
      </c>
      <c r="I77" s="8">
        <v>16108868</v>
      </c>
      <c r="J77" s="8">
        <f>SUMIF(Vandværker!$G:$G,'Costdrivere 2025'!$A77&amp;"_1",Vandværker!$F:$F)</f>
        <v>0</v>
      </c>
      <c r="K77" s="8">
        <f>SUMIF(Vandværker!$G:$G,'Costdrivere 2025'!$A77&amp;"_2",Vandværker!$F:$F)</f>
        <v>16312795</v>
      </c>
      <c r="L77" s="8">
        <f>SUMIF(Vandværker!$G:$G,'Costdrivere 2025'!$A77&amp;"_3",Vandværker!$F:$F)</f>
        <v>7191</v>
      </c>
      <c r="M77" s="8">
        <f>SUMIF(Vandværker!$G:$G,'Costdrivere 2025'!$A77&amp;"_4",Vandværker!$F:$F)</f>
        <v>0</v>
      </c>
      <c r="N77" s="8">
        <v>45</v>
      </c>
      <c r="O77" s="8">
        <v>9</v>
      </c>
      <c r="P77" s="8">
        <v>2091</v>
      </c>
      <c r="Q77" s="8">
        <v>1280</v>
      </c>
      <c r="R77" s="8">
        <v>1001</v>
      </c>
      <c r="S77" s="8">
        <v>62</v>
      </c>
      <c r="T77" s="8">
        <v>146</v>
      </c>
      <c r="U77" s="8">
        <v>3003</v>
      </c>
      <c r="V77" s="8">
        <v>71951</v>
      </c>
      <c r="W77" s="8">
        <v>14712728</v>
      </c>
      <c r="X77" s="8">
        <v>14680593</v>
      </c>
      <c r="Y77" s="8">
        <f t="shared" si="12"/>
        <v>16319986</v>
      </c>
      <c r="Z77" s="8">
        <v>204455</v>
      </c>
      <c r="AA77" s="8">
        <v>1637.461</v>
      </c>
      <c r="AB77" s="8">
        <f t="shared" si="13"/>
        <v>0.1248609890556172</v>
      </c>
      <c r="AC77" s="8">
        <v>17860279.517075494</v>
      </c>
      <c r="AD77" s="8">
        <v>63002773.907693006</v>
      </c>
      <c r="AE77" s="8">
        <v>3009000</v>
      </c>
      <c r="AF77" s="8">
        <f t="shared" si="14"/>
        <v>83872053.424768507</v>
      </c>
    </row>
  </sheetData>
  <customSheetViews>
    <customSheetView guid="{2C63D52F-0547-4395-8CA0-C7353D68F8CD}" scale="80">
      <pane xSplit="2" ySplit="3" topLeftCell="R4" activePane="bottomRight" state="frozen"/>
      <selection pane="bottomRight" activeCell="AA7" sqref="AA7"/>
      <pageMargins left="0.7" right="0.7" top="0.75" bottom="0.75" header="0.3" footer="0.3"/>
      <pageSetup paperSize="9" orientation="portrait" r:id="rId1"/>
    </customSheetView>
    <customSheetView guid="{53A86AE5-34B9-4AAD-8A1B-514545CD4D41}" scale="80">
      <pane xSplit="2" ySplit="2" topLeftCell="R43" activePane="bottomRight" state="frozen"/>
      <selection pane="bottomRight" activeCell="AD4" sqref="AD4"/>
      <pageMargins left="0.7" right="0.7" top="0.75" bottom="0.75" header="0.3" footer="0.3"/>
      <pageSetup paperSize="9" orientation="portrait" r:id="rId2"/>
    </customSheetView>
    <customSheetView guid="{23FC3042-4DA9-4083-9758-54D5110D65D9}" scale="80">
      <pane xSplit="2" ySplit="3" topLeftCell="R4" activePane="bottomRight" state="frozen"/>
      <selection pane="bottomRight" activeCell="AA7" sqref="AA7"/>
      <pageMargins left="0.7" right="0.7" top="0.75" bottom="0.75" header="0.3" footer="0.3"/>
      <pageSetup paperSize="9" orientation="portrait" r:id="rId3"/>
    </customSheetView>
    <customSheetView guid="{5FBF3CB5-95CF-4C0E-8B39-AC62F6F49BEE}" scale="80">
      <pane xSplit="2" ySplit="3" topLeftCell="P43" activePane="bottomRight" state="frozen"/>
      <selection pane="bottomRight" activeCell="AD4" sqref="AD4"/>
      <pageMargins left="0.7" right="0.7" top="0.75" bottom="0.75" header="0.3" footer="0.3"/>
      <pageSetup paperSize="9" orientation="portrait" r:id="rId4"/>
    </customSheetView>
    <customSheetView guid="{2CE6916A-B758-47AB-980F-69C7A5893278}" scale="80">
      <pane xSplit="2" ySplit="3" topLeftCell="R34" activePane="bottomRight" state="frozen"/>
      <selection pane="bottomRight" activeCell="AA7" sqref="AA7"/>
      <pageMargins left="0.7" right="0.7" top="0.75" bottom="0.75" header="0.3" footer="0.3"/>
      <pageSetup paperSize="9" orientation="portrait" r:id="rId5"/>
    </customSheetView>
    <customSheetView guid="{8AB850D7-B944-458B-BCC3-5E89642C0267}" scale="80">
      <pane xSplit="2" ySplit="3" topLeftCell="R4" activePane="bottomRight" state="frozen"/>
      <selection pane="bottomRight" activeCell="AA7" sqref="AA7"/>
      <pageMargins left="0.7" right="0.7" top="0.75" bottom="0.75" header="0.3" footer="0.3"/>
      <pageSetup paperSize="9" orientation="portrait" r:id="rId6"/>
    </customSheetView>
    <customSheetView guid="{DF8BFEF0-0BD5-4622-BE69-0A50F4CB3BF9}" scale="80">
      <pane xSplit="2" ySplit="3" topLeftCell="C34" activePane="bottomRight" state="frozen"/>
      <selection pane="bottomRight" activeCell="F49" sqref="F49"/>
      <pageMargins left="0.7" right="0.7" top="0.75" bottom="0.75" header="0.3" footer="0.3"/>
      <pageSetup paperSize="9" orientation="portrait" r:id="rId7"/>
    </customSheetView>
    <customSheetView guid="{567A7DB2-5052-48B6-AF10-DEE353704E6F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8"/>
    </customSheetView>
    <customSheetView guid="{04200D46-0C53-4477-BAC3-AB4074B626AC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9"/>
    </customSheetView>
    <customSheetView guid="{74E4FC22-AA95-4DF3-A713-5EDF3ADB5B44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10"/>
    </customSheetView>
    <customSheetView guid="{23E6A4DE-893A-46F1-B86D-CF441BE94B8E}" scale="80">
      <pane xSplit="2" ySplit="3" topLeftCell="W4" activePane="bottomRight" state="frozen"/>
      <selection pane="bottomRight" activeCell="AD4" sqref="AD4"/>
      <pageMargins left="0.7" right="0.7" top="0.75" bottom="0.75" header="0.3" footer="0.3"/>
      <pageSetup paperSize="9" orientation="portrait" r:id="rId11"/>
    </customSheetView>
    <customSheetView guid="{829B6B23-535C-44A1-B480-6154D4D7EB30}" scale="80">
      <pane xSplit="2" ySplit="3" topLeftCell="P4" activePane="bottomRight" state="frozen"/>
      <selection pane="bottomRight" activeCell="AD4" sqref="AD4"/>
      <pageMargins left="0.7" right="0.7" top="0.75" bottom="0.75" header="0.3" footer="0.3"/>
      <pageSetup paperSize="9" orientation="portrait" r:id="rId12"/>
    </customSheetView>
  </customSheetViews>
  <mergeCells count="5">
    <mergeCell ref="AC1:AF1"/>
    <mergeCell ref="J1:M1"/>
    <mergeCell ref="C1:H1"/>
    <mergeCell ref="N1:Q1"/>
    <mergeCell ref="R1:T1"/>
  </mergeCells>
  <pageMargins left="0.7" right="0.7" top="0.75" bottom="0.75" header="0.3" footer="0.3"/>
  <pageSetup paperSize="9" fitToHeight="0" orientation="landscape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036E-FFE4-47A9-ABB1-D3B17DBB8E3D}">
  <sheetPr codeName="Vandværker">
    <pageSetUpPr fitToPage="1"/>
  </sheetPr>
  <dimension ref="A1:G275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.28515625" bestFit="1" customWidth="1"/>
    <col min="2" max="2" width="25.7109375" style="1" bestFit="1" customWidth="1"/>
    <col min="3" max="3" width="32" bestFit="1" customWidth="1"/>
    <col min="4" max="4" width="21.5703125" bestFit="1" customWidth="1"/>
    <col min="5" max="6" width="29.85546875" style="1" bestFit="1" customWidth="1"/>
    <col min="7" max="7" width="19.42578125" bestFit="1" customWidth="1"/>
  </cols>
  <sheetData>
    <row r="1" spans="1:7" ht="15.75" thickBot="1" x14ac:dyDescent="0.3">
      <c r="A1" s="2" t="s">
        <v>256</v>
      </c>
      <c r="B1" s="2" t="s">
        <v>290</v>
      </c>
      <c r="C1" s="2" t="s">
        <v>290</v>
      </c>
      <c r="D1" s="2" t="s">
        <v>291</v>
      </c>
      <c r="E1" s="2" t="s">
        <v>423</v>
      </c>
      <c r="F1" s="2" t="s">
        <v>422</v>
      </c>
      <c r="G1" s="2" t="s">
        <v>724</v>
      </c>
    </row>
    <row r="2" spans="1:7" x14ac:dyDescent="0.25">
      <c r="A2" s="5" t="s">
        <v>1</v>
      </c>
      <c r="B2" s="5" t="s">
        <v>210</v>
      </c>
      <c r="C2" s="5" t="s">
        <v>424</v>
      </c>
      <c r="D2" s="5" t="s">
        <v>292</v>
      </c>
      <c r="E2" s="8">
        <v>729038</v>
      </c>
      <c r="F2" s="8">
        <v>814880</v>
      </c>
      <c r="G2" s="5" t="s">
        <v>425</v>
      </c>
    </row>
    <row r="3" spans="1:7" x14ac:dyDescent="0.25">
      <c r="A3" s="5" t="s">
        <v>1</v>
      </c>
      <c r="B3" s="5" t="s">
        <v>210</v>
      </c>
      <c r="C3" s="5" t="s">
        <v>426</v>
      </c>
      <c r="D3" s="5" t="s">
        <v>292</v>
      </c>
      <c r="E3" s="8">
        <v>550570</v>
      </c>
      <c r="F3" s="8">
        <v>600714</v>
      </c>
      <c r="G3" s="5" t="s">
        <v>425</v>
      </c>
    </row>
    <row r="4" spans="1:7" x14ac:dyDescent="0.25">
      <c r="A4" s="5" t="s">
        <v>1</v>
      </c>
      <c r="B4" s="5" t="s">
        <v>210</v>
      </c>
      <c r="C4" s="5" t="s">
        <v>427</v>
      </c>
      <c r="D4" s="5" t="s">
        <v>292</v>
      </c>
      <c r="E4" s="8">
        <v>35143</v>
      </c>
      <c r="F4" s="8">
        <v>34317</v>
      </c>
      <c r="G4" s="5" t="s">
        <v>425</v>
      </c>
    </row>
    <row r="5" spans="1:7" x14ac:dyDescent="0.25">
      <c r="A5" s="5" t="s">
        <v>1</v>
      </c>
      <c r="B5" s="5" t="s">
        <v>210</v>
      </c>
      <c r="C5" s="5" t="s">
        <v>428</v>
      </c>
      <c r="D5" s="5" t="s">
        <v>292</v>
      </c>
      <c r="E5" s="8">
        <v>1934</v>
      </c>
      <c r="F5" s="8">
        <v>1381</v>
      </c>
      <c r="G5" s="5" t="s">
        <v>425</v>
      </c>
    </row>
    <row r="6" spans="1:7" x14ac:dyDescent="0.25">
      <c r="A6" s="5" t="s">
        <v>2</v>
      </c>
      <c r="B6" s="5" t="s">
        <v>429</v>
      </c>
      <c r="C6" s="5" t="s">
        <v>430</v>
      </c>
      <c r="D6" s="5" t="s">
        <v>293</v>
      </c>
      <c r="E6" s="8">
        <v>1128467</v>
      </c>
      <c r="F6" s="8">
        <v>1145884</v>
      </c>
      <c r="G6" s="5" t="s">
        <v>431</v>
      </c>
    </row>
    <row r="7" spans="1:7" x14ac:dyDescent="0.25">
      <c r="A7" s="5" t="s">
        <v>3</v>
      </c>
      <c r="B7" s="5" t="s">
        <v>432</v>
      </c>
      <c r="C7" s="5" t="s">
        <v>433</v>
      </c>
      <c r="D7" s="5" t="s">
        <v>292</v>
      </c>
      <c r="E7" s="8">
        <v>784851</v>
      </c>
      <c r="F7" s="8">
        <v>816833</v>
      </c>
      <c r="G7" s="5" t="s">
        <v>434</v>
      </c>
    </row>
    <row r="8" spans="1:7" x14ac:dyDescent="0.25">
      <c r="A8" s="5" t="s">
        <v>3</v>
      </c>
      <c r="B8" s="5" t="s">
        <v>432</v>
      </c>
      <c r="C8" s="5" t="s">
        <v>435</v>
      </c>
      <c r="D8" s="5" t="s">
        <v>292</v>
      </c>
      <c r="E8" s="8">
        <v>144153</v>
      </c>
      <c r="F8" s="8">
        <v>143874</v>
      </c>
      <c r="G8" s="5" t="s">
        <v>434</v>
      </c>
    </row>
    <row r="9" spans="1:7" x14ac:dyDescent="0.25">
      <c r="A9" s="5" t="s">
        <v>3</v>
      </c>
      <c r="B9" s="5" t="s">
        <v>432</v>
      </c>
      <c r="C9" s="5" t="s">
        <v>436</v>
      </c>
      <c r="D9" s="5" t="s">
        <v>292</v>
      </c>
      <c r="E9" s="8">
        <v>97943</v>
      </c>
      <c r="F9" s="8">
        <v>98640</v>
      </c>
      <c r="G9" s="5" t="s">
        <v>434</v>
      </c>
    </row>
    <row r="10" spans="1:7" x14ac:dyDescent="0.25">
      <c r="A10" s="5" t="s">
        <v>3</v>
      </c>
      <c r="B10" s="5" t="s">
        <v>432</v>
      </c>
      <c r="C10" s="5" t="s">
        <v>437</v>
      </c>
      <c r="D10" s="5" t="s">
        <v>292</v>
      </c>
      <c r="E10" s="8">
        <v>297715</v>
      </c>
      <c r="F10" s="8">
        <v>304292</v>
      </c>
      <c r="G10" s="5" t="s">
        <v>434</v>
      </c>
    </row>
    <row r="11" spans="1:7" x14ac:dyDescent="0.25">
      <c r="A11" s="5" t="s">
        <v>114</v>
      </c>
      <c r="B11" s="5" t="s">
        <v>211</v>
      </c>
      <c r="C11" s="5" t="s">
        <v>393</v>
      </c>
      <c r="D11" s="5" t="s">
        <v>292</v>
      </c>
      <c r="E11" s="8">
        <v>1027943</v>
      </c>
      <c r="F11" s="8">
        <v>998791</v>
      </c>
      <c r="G11" s="5" t="s">
        <v>358</v>
      </c>
    </row>
    <row r="12" spans="1:7" x14ac:dyDescent="0.25">
      <c r="A12" s="5" t="s">
        <v>4</v>
      </c>
      <c r="B12" s="5" t="s">
        <v>584</v>
      </c>
      <c r="C12" s="5" t="s">
        <v>490</v>
      </c>
      <c r="D12" s="5" t="s">
        <v>292</v>
      </c>
      <c r="E12" s="8">
        <v>470862</v>
      </c>
      <c r="F12" s="8">
        <v>521978</v>
      </c>
      <c r="G12" s="5" t="s">
        <v>585</v>
      </c>
    </row>
    <row r="13" spans="1:7" x14ac:dyDescent="0.25">
      <c r="A13" s="5" t="s">
        <v>4</v>
      </c>
      <c r="B13" s="5" t="s">
        <v>584</v>
      </c>
      <c r="C13" s="5" t="s">
        <v>491</v>
      </c>
      <c r="D13" s="5" t="s">
        <v>292</v>
      </c>
      <c r="E13" s="8">
        <v>399709</v>
      </c>
      <c r="F13" s="8">
        <v>379422</v>
      </c>
      <c r="G13" s="5" t="s">
        <v>585</v>
      </c>
    </row>
    <row r="14" spans="1:7" x14ac:dyDescent="0.25">
      <c r="A14" s="5" t="s">
        <v>5</v>
      </c>
      <c r="B14" s="5" t="s">
        <v>586</v>
      </c>
      <c r="C14" s="5" t="s">
        <v>587</v>
      </c>
      <c r="D14" s="5" t="s">
        <v>293</v>
      </c>
      <c r="E14" s="8">
        <v>1912156</v>
      </c>
      <c r="F14" s="8">
        <v>1772470</v>
      </c>
      <c r="G14" s="5" t="s">
        <v>588</v>
      </c>
    </row>
    <row r="15" spans="1:7" x14ac:dyDescent="0.25">
      <c r="A15" s="5" t="s">
        <v>5</v>
      </c>
      <c r="B15" s="5" t="s">
        <v>586</v>
      </c>
      <c r="C15" s="5" t="s">
        <v>589</v>
      </c>
      <c r="D15" s="5" t="s">
        <v>293</v>
      </c>
      <c r="E15" s="8">
        <v>632261</v>
      </c>
      <c r="F15" s="8">
        <v>809491</v>
      </c>
      <c r="G15" s="5" t="s">
        <v>588</v>
      </c>
    </row>
    <row r="16" spans="1:7" x14ac:dyDescent="0.25">
      <c r="A16" s="5" t="s">
        <v>5</v>
      </c>
      <c r="B16" s="5" t="s">
        <v>586</v>
      </c>
      <c r="C16" s="5" t="s">
        <v>590</v>
      </c>
      <c r="D16" s="5" t="s">
        <v>293</v>
      </c>
      <c r="E16" s="8">
        <v>54738</v>
      </c>
      <c r="F16" s="8">
        <v>44587</v>
      </c>
      <c r="G16" s="5" t="s">
        <v>588</v>
      </c>
    </row>
    <row r="17" spans="1:7" x14ac:dyDescent="0.25">
      <c r="A17" s="5" t="s">
        <v>7</v>
      </c>
      <c r="B17" s="5" t="s">
        <v>438</v>
      </c>
      <c r="C17" s="5" t="s">
        <v>439</v>
      </c>
      <c r="D17" s="5" t="s">
        <v>292</v>
      </c>
      <c r="E17" s="8">
        <v>1591507</v>
      </c>
      <c r="F17" s="8">
        <v>1575080</v>
      </c>
      <c r="G17" s="5" t="s">
        <v>440</v>
      </c>
    </row>
    <row r="18" spans="1:7" x14ac:dyDescent="0.25">
      <c r="A18" s="5" t="s">
        <v>7</v>
      </c>
      <c r="B18" s="5" t="s">
        <v>438</v>
      </c>
      <c r="C18" s="5" t="s">
        <v>441</v>
      </c>
      <c r="D18" s="5" t="s">
        <v>292</v>
      </c>
      <c r="E18" s="8">
        <v>1551456</v>
      </c>
      <c r="F18" s="8">
        <v>1538348</v>
      </c>
      <c r="G18" s="5" t="s">
        <v>440</v>
      </c>
    </row>
    <row r="19" spans="1:7" x14ac:dyDescent="0.25">
      <c r="A19" s="5" t="s">
        <v>7</v>
      </c>
      <c r="B19" s="5" t="s">
        <v>438</v>
      </c>
      <c r="C19" s="5" t="s">
        <v>442</v>
      </c>
      <c r="D19" s="5" t="s">
        <v>292</v>
      </c>
      <c r="E19" s="8">
        <v>1082860</v>
      </c>
      <c r="F19" s="8">
        <v>921631</v>
      </c>
      <c r="G19" s="5" t="s">
        <v>440</v>
      </c>
    </row>
    <row r="20" spans="1:7" x14ac:dyDescent="0.25">
      <c r="A20" s="5" t="s">
        <v>7</v>
      </c>
      <c r="B20" s="5" t="s">
        <v>438</v>
      </c>
      <c r="C20" s="5" t="s">
        <v>443</v>
      </c>
      <c r="D20" s="5" t="s">
        <v>292</v>
      </c>
      <c r="E20" s="8">
        <v>1026712</v>
      </c>
      <c r="F20" s="8">
        <v>914784</v>
      </c>
      <c r="G20" s="5" t="s">
        <v>440</v>
      </c>
    </row>
    <row r="21" spans="1:7" x14ac:dyDescent="0.25">
      <c r="A21" s="5" t="s">
        <v>7</v>
      </c>
      <c r="B21" s="5" t="s">
        <v>438</v>
      </c>
      <c r="C21" s="5" t="s">
        <v>444</v>
      </c>
      <c r="D21" s="5" t="s">
        <v>295</v>
      </c>
      <c r="E21" s="8">
        <v>406199</v>
      </c>
      <c r="F21" s="8">
        <v>337886</v>
      </c>
      <c r="G21" s="5" t="s">
        <v>445</v>
      </c>
    </row>
    <row r="22" spans="1:7" x14ac:dyDescent="0.25">
      <c r="A22" s="5" t="s">
        <v>7</v>
      </c>
      <c r="B22" s="5" t="s">
        <v>438</v>
      </c>
      <c r="C22" s="5" t="s">
        <v>446</v>
      </c>
      <c r="D22" s="5" t="s">
        <v>293</v>
      </c>
      <c r="E22" s="8">
        <v>221329</v>
      </c>
      <c r="F22" s="8">
        <v>190438</v>
      </c>
      <c r="G22" s="5" t="s">
        <v>447</v>
      </c>
    </row>
    <row r="23" spans="1:7" x14ac:dyDescent="0.25">
      <c r="A23" s="5" t="s">
        <v>7</v>
      </c>
      <c r="B23" s="5" t="s">
        <v>438</v>
      </c>
      <c r="C23" s="5" t="s">
        <v>449</v>
      </c>
      <c r="D23" s="5" t="s">
        <v>293</v>
      </c>
      <c r="E23" s="8">
        <v>479413</v>
      </c>
      <c r="F23" s="8">
        <v>407979</v>
      </c>
      <c r="G23" s="5" t="s">
        <v>447</v>
      </c>
    </row>
    <row r="24" spans="1:7" x14ac:dyDescent="0.25">
      <c r="A24" s="5" t="s">
        <v>7</v>
      </c>
      <c r="B24" s="5" t="s">
        <v>438</v>
      </c>
      <c r="C24" s="5" t="s">
        <v>450</v>
      </c>
      <c r="D24" s="5" t="s">
        <v>293</v>
      </c>
      <c r="E24" s="8">
        <v>544380</v>
      </c>
      <c r="F24" s="8">
        <v>590558</v>
      </c>
      <c r="G24" s="5" t="s">
        <v>447</v>
      </c>
    </row>
    <row r="25" spans="1:7" x14ac:dyDescent="0.25">
      <c r="A25" s="5" t="s">
        <v>7</v>
      </c>
      <c r="B25" s="5" t="s">
        <v>438</v>
      </c>
      <c r="C25" s="5" t="s">
        <v>451</v>
      </c>
      <c r="D25" s="5" t="s">
        <v>292</v>
      </c>
      <c r="E25" s="8">
        <v>315229</v>
      </c>
      <c r="F25" s="8">
        <v>348424</v>
      </c>
      <c r="G25" s="5" t="s">
        <v>440</v>
      </c>
    </row>
    <row r="26" spans="1:7" x14ac:dyDescent="0.25">
      <c r="A26" s="5" t="s">
        <v>7</v>
      </c>
      <c r="B26" s="5" t="s">
        <v>438</v>
      </c>
      <c r="C26" s="5" t="s">
        <v>452</v>
      </c>
      <c r="D26" s="5" t="s">
        <v>296</v>
      </c>
      <c r="E26" s="8">
        <v>13683</v>
      </c>
      <c r="F26" s="8">
        <v>3890</v>
      </c>
      <c r="G26" s="5" t="s">
        <v>453</v>
      </c>
    </row>
    <row r="27" spans="1:7" x14ac:dyDescent="0.25">
      <c r="A27" s="5" t="s">
        <v>7</v>
      </c>
      <c r="B27" s="5" t="s">
        <v>438</v>
      </c>
      <c r="C27" s="5" t="s">
        <v>454</v>
      </c>
      <c r="D27" s="5" t="s">
        <v>295</v>
      </c>
      <c r="E27" s="8">
        <v>759289</v>
      </c>
      <c r="F27" s="8">
        <v>851282</v>
      </c>
      <c r="G27" s="5" t="s">
        <v>445</v>
      </c>
    </row>
    <row r="28" spans="1:7" x14ac:dyDescent="0.25">
      <c r="A28" s="5" t="s">
        <v>7</v>
      </c>
      <c r="B28" s="5" t="s">
        <v>438</v>
      </c>
      <c r="C28" s="5" t="s">
        <v>455</v>
      </c>
      <c r="D28" s="5" t="s">
        <v>292</v>
      </c>
      <c r="E28" s="8">
        <v>0</v>
      </c>
      <c r="F28" s="8">
        <v>401805</v>
      </c>
      <c r="G28" s="5" t="s">
        <v>440</v>
      </c>
    </row>
    <row r="29" spans="1:7" x14ac:dyDescent="0.25">
      <c r="A29" s="5" t="s">
        <v>7</v>
      </c>
      <c r="B29" s="5" t="s">
        <v>438</v>
      </c>
      <c r="C29" s="5" t="s">
        <v>448</v>
      </c>
      <c r="D29" s="5" t="s">
        <v>292</v>
      </c>
      <c r="E29" s="8">
        <v>100682</v>
      </c>
      <c r="F29" s="8">
        <v>117047</v>
      </c>
      <c r="G29" s="5" t="s">
        <v>440</v>
      </c>
    </row>
    <row r="30" spans="1:7" x14ac:dyDescent="0.25">
      <c r="A30" s="5" t="s">
        <v>8</v>
      </c>
      <c r="B30" s="5" t="s">
        <v>226</v>
      </c>
      <c r="C30" s="5" t="s">
        <v>684</v>
      </c>
      <c r="D30" s="5" t="s">
        <v>292</v>
      </c>
      <c r="E30" s="8">
        <v>1969605</v>
      </c>
      <c r="F30" s="8">
        <v>1952387</v>
      </c>
      <c r="G30" s="5" t="s">
        <v>685</v>
      </c>
    </row>
    <row r="31" spans="1:7" x14ac:dyDescent="0.25">
      <c r="A31" s="5" t="s">
        <v>9</v>
      </c>
      <c r="B31" s="5" t="s">
        <v>222</v>
      </c>
      <c r="C31" s="5" t="s">
        <v>591</v>
      </c>
      <c r="D31" s="5" t="s">
        <v>293</v>
      </c>
      <c r="E31" s="8">
        <v>5000</v>
      </c>
      <c r="F31" s="8">
        <v>5000</v>
      </c>
      <c r="G31" s="5" t="s">
        <v>592</v>
      </c>
    </row>
    <row r="32" spans="1:7" x14ac:dyDescent="0.25">
      <c r="A32" s="5" t="s">
        <v>9</v>
      </c>
      <c r="B32" s="5" t="s">
        <v>222</v>
      </c>
      <c r="C32" s="5" t="s">
        <v>593</v>
      </c>
      <c r="D32" s="5" t="s">
        <v>293</v>
      </c>
      <c r="E32" s="8">
        <v>5000</v>
      </c>
      <c r="F32" s="8">
        <v>5000</v>
      </c>
      <c r="G32" s="5" t="s">
        <v>592</v>
      </c>
    </row>
    <row r="33" spans="1:7" x14ac:dyDescent="0.25">
      <c r="A33" s="5" t="s">
        <v>9</v>
      </c>
      <c r="B33" s="5" t="s">
        <v>222</v>
      </c>
      <c r="C33" s="5" t="s">
        <v>594</v>
      </c>
      <c r="D33" s="5" t="s">
        <v>292</v>
      </c>
      <c r="E33" s="8">
        <v>1460970</v>
      </c>
      <c r="F33" s="8">
        <v>1556221</v>
      </c>
      <c r="G33" s="5" t="s">
        <v>595</v>
      </c>
    </row>
    <row r="34" spans="1:7" x14ac:dyDescent="0.25">
      <c r="A34" s="5" t="s">
        <v>9</v>
      </c>
      <c r="B34" s="5" t="s">
        <v>222</v>
      </c>
      <c r="C34" s="5" t="s">
        <v>596</v>
      </c>
      <c r="D34" s="5" t="s">
        <v>292</v>
      </c>
      <c r="E34" s="8">
        <v>1467507</v>
      </c>
      <c r="F34" s="8">
        <v>1377469</v>
      </c>
      <c r="G34" s="5" t="s">
        <v>595</v>
      </c>
    </row>
    <row r="35" spans="1:7" x14ac:dyDescent="0.25">
      <c r="A35" s="5" t="s">
        <v>10</v>
      </c>
      <c r="B35" s="5" t="s">
        <v>227</v>
      </c>
      <c r="C35" s="5" t="s">
        <v>297</v>
      </c>
      <c r="D35" s="5" t="s">
        <v>292</v>
      </c>
      <c r="E35" s="8">
        <v>378684</v>
      </c>
      <c r="F35" s="8">
        <v>404899</v>
      </c>
      <c r="G35" s="5" t="s">
        <v>359</v>
      </c>
    </row>
    <row r="36" spans="1:7" x14ac:dyDescent="0.25">
      <c r="A36" s="5" t="s">
        <v>10</v>
      </c>
      <c r="B36" s="5" t="s">
        <v>227</v>
      </c>
      <c r="C36" s="5" t="s">
        <v>298</v>
      </c>
      <c r="D36" s="5" t="s">
        <v>292</v>
      </c>
      <c r="E36" s="8">
        <v>720116</v>
      </c>
      <c r="F36" s="8">
        <v>761255</v>
      </c>
      <c r="G36" s="5" t="s">
        <v>359</v>
      </c>
    </row>
    <row r="37" spans="1:7" x14ac:dyDescent="0.25">
      <c r="A37" s="5" t="s">
        <v>11</v>
      </c>
      <c r="B37" s="5" t="s">
        <v>228</v>
      </c>
      <c r="C37" s="5" t="s">
        <v>597</v>
      </c>
      <c r="D37" s="5" t="s">
        <v>293</v>
      </c>
      <c r="E37" s="8">
        <v>4473833</v>
      </c>
      <c r="F37" s="8">
        <v>4486111</v>
      </c>
      <c r="G37" s="5" t="s">
        <v>598</v>
      </c>
    </row>
    <row r="38" spans="1:7" x14ac:dyDescent="0.25">
      <c r="A38" s="5" t="s">
        <v>12</v>
      </c>
      <c r="B38" s="5" t="s">
        <v>579</v>
      </c>
      <c r="C38" s="5" t="s">
        <v>686</v>
      </c>
      <c r="D38" s="5" t="s">
        <v>292</v>
      </c>
      <c r="E38" s="8">
        <v>791000</v>
      </c>
      <c r="F38" s="8">
        <v>781000</v>
      </c>
      <c r="G38" s="5" t="s">
        <v>600</v>
      </c>
    </row>
    <row r="39" spans="1:7" x14ac:dyDescent="0.25">
      <c r="A39" s="5" t="s">
        <v>12</v>
      </c>
      <c r="B39" s="5" t="s">
        <v>579</v>
      </c>
      <c r="C39" s="5" t="s">
        <v>599</v>
      </c>
      <c r="D39" s="5" t="s">
        <v>292</v>
      </c>
      <c r="E39" s="8">
        <v>1022000</v>
      </c>
      <c r="F39" s="8">
        <v>1010000</v>
      </c>
      <c r="G39" s="5" t="s">
        <v>600</v>
      </c>
    </row>
    <row r="40" spans="1:7" x14ac:dyDescent="0.25">
      <c r="A40" s="5" t="s">
        <v>12</v>
      </c>
      <c r="B40" s="5" t="s">
        <v>579</v>
      </c>
      <c r="C40" s="5" t="s">
        <v>601</v>
      </c>
      <c r="D40" s="5" t="s">
        <v>292</v>
      </c>
      <c r="E40" s="8">
        <v>1180000</v>
      </c>
      <c r="F40" s="8">
        <v>1320000</v>
      </c>
      <c r="G40" s="5" t="s">
        <v>600</v>
      </c>
    </row>
    <row r="41" spans="1:7" x14ac:dyDescent="0.25">
      <c r="A41" s="5" t="s">
        <v>12</v>
      </c>
      <c r="B41" s="5" t="s">
        <v>579</v>
      </c>
      <c r="C41" s="5" t="s">
        <v>687</v>
      </c>
      <c r="D41" s="5" t="s">
        <v>292</v>
      </c>
      <c r="E41" s="8">
        <v>501000</v>
      </c>
      <c r="F41" s="8">
        <v>515000</v>
      </c>
      <c r="G41" s="5" t="s">
        <v>600</v>
      </c>
    </row>
    <row r="42" spans="1:7" x14ac:dyDescent="0.25">
      <c r="A42" s="5" t="s">
        <v>12</v>
      </c>
      <c r="B42" s="5" t="s">
        <v>579</v>
      </c>
      <c r="C42" s="5" t="s">
        <v>688</v>
      </c>
      <c r="D42" s="5" t="s">
        <v>293</v>
      </c>
      <c r="E42" s="8">
        <v>1450000</v>
      </c>
      <c r="F42" s="8">
        <v>1410000</v>
      </c>
      <c r="G42" s="5" t="s">
        <v>689</v>
      </c>
    </row>
    <row r="43" spans="1:7" x14ac:dyDescent="0.25">
      <c r="A43" s="5" t="s">
        <v>12</v>
      </c>
      <c r="B43" s="5" t="s">
        <v>579</v>
      </c>
      <c r="C43" s="5" t="s">
        <v>690</v>
      </c>
      <c r="D43" s="5" t="s">
        <v>295</v>
      </c>
      <c r="E43" s="8">
        <v>30000</v>
      </c>
      <c r="F43" s="8">
        <v>0</v>
      </c>
      <c r="G43" s="5" t="s">
        <v>691</v>
      </c>
    </row>
    <row r="44" spans="1:7" x14ac:dyDescent="0.25">
      <c r="A44" s="5" t="s">
        <v>13</v>
      </c>
      <c r="B44" s="5" t="s">
        <v>456</v>
      </c>
      <c r="C44" s="5" t="s">
        <v>457</v>
      </c>
      <c r="D44" s="5" t="s">
        <v>292</v>
      </c>
      <c r="E44" s="8">
        <v>51813</v>
      </c>
      <c r="F44" s="8">
        <v>45598</v>
      </c>
      <c r="G44" s="5" t="s">
        <v>458</v>
      </c>
    </row>
    <row r="45" spans="1:7" x14ac:dyDescent="0.25">
      <c r="A45" s="5" t="s">
        <v>13</v>
      </c>
      <c r="B45" s="5" t="s">
        <v>456</v>
      </c>
      <c r="C45" s="5" t="s">
        <v>459</v>
      </c>
      <c r="D45" s="5" t="s">
        <v>292</v>
      </c>
      <c r="E45" s="8">
        <v>252922</v>
      </c>
      <c r="F45" s="8">
        <v>242309</v>
      </c>
      <c r="G45" s="5" t="s">
        <v>458</v>
      </c>
    </row>
    <row r="46" spans="1:7" x14ac:dyDescent="0.25">
      <c r="A46" s="5" t="s">
        <v>13</v>
      </c>
      <c r="B46" s="5" t="s">
        <v>456</v>
      </c>
      <c r="C46" s="5" t="s">
        <v>460</v>
      </c>
      <c r="D46" s="5" t="s">
        <v>292</v>
      </c>
      <c r="E46" s="8">
        <v>533022</v>
      </c>
      <c r="F46" s="8">
        <v>584948</v>
      </c>
      <c r="G46" s="5" t="s">
        <v>458</v>
      </c>
    </row>
    <row r="47" spans="1:7" x14ac:dyDescent="0.25">
      <c r="A47" s="5" t="s">
        <v>13</v>
      </c>
      <c r="B47" s="5" t="s">
        <v>456</v>
      </c>
      <c r="C47" s="5" t="s">
        <v>461</v>
      </c>
      <c r="D47" s="5" t="s">
        <v>292</v>
      </c>
      <c r="E47" s="8">
        <v>104002</v>
      </c>
      <c r="F47" s="8">
        <v>107421</v>
      </c>
      <c r="G47" s="5" t="s">
        <v>458</v>
      </c>
    </row>
    <row r="48" spans="1:7" x14ac:dyDescent="0.25">
      <c r="A48" s="5" t="s">
        <v>13</v>
      </c>
      <c r="B48" s="5" t="s">
        <v>456</v>
      </c>
      <c r="C48" s="5" t="s">
        <v>462</v>
      </c>
      <c r="D48" s="5" t="s">
        <v>292</v>
      </c>
      <c r="E48" s="8">
        <v>581063</v>
      </c>
      <c r="F48" s="8">
        <v>517137</v>
      </c>
      <c r="G48" s="5" t="s">
        <v>458</v>
      </c>
    </row>
    <row r="49" spans="1:7" x14ac:dyDescent="0.25">
      <c r="A49" s="5" t="s">
        <v>15</v>
      </c>
      <c r="B49" s="5" t="s">
        <v>463</v>
      </c>
      <c r="C49" s="5" t="s">
        <v>464</v>
      </c>
      <c r="D49" s="5" t="s">
        <v>292</v>
      </c>
      <c r="E49" s="8">
        <v>151004</v>
      </c>
      <c r="F49" s="8">
        <v>138087</v>
      </c>
      <c r="G49" s="5" t="s">
        <v>465</v>
      </c>
    </row>
    <row r="50" spans="1:7" x14ac:dyDescent="0.25">
      <c r="A50" s="5" t="s">
        <v>15</v>
      </c>
      <c r="B50" s="5" t="s">
        <v>463</v>
      </c>
      <c r="C50" s="5" t="s">
        <v>466</v>
      </c>
      <c r="D50" s="5" t="s">
        <v>292</v>
      </c>
      <c r="E50" s="8">
        <v>513240</v>
      </c>
      <c r="F50" s="8">
        <v>505215</v>
      </c>
      <c r="G50" s="5" t="s">
        <v>465</v>
      </c>
    </row>
    <row r="51" spans="1:7" x14ac:dyDescent="0.25">
      <c r="A51" s="5" t="s">
        <v>15</v>
      </c>
      <c r="B51" s="5" t="s">
        <v>463</v>
      </c>
      <c r="C51" s="5" t="s">
        <v>467</v>
      </c>
      <c r="D51" s="5" t="s">
        <v>292</v>
      </c>
      <c r="E51" s="8">
        <v>312196</v>
      </c>
      <c r="F51" s="8">
        <v>327148</v>
      </c>
      <c r="G51" s="5" t="s">
        <v>465</v>
      </c>
    </row>
    <row r="52" spans="1:7" x14ac:dyDescent="0.25">
      <c r="A52" s="5" t="s">
        <v>15</v>
      </c>
      <c r="B52" s="5" t="s">
        <v>463</v>
      </c>
      <c r="C52" s="5" t="s">
        <v>468</v>
      </c>
      <c r="D52" s="5" t="s">
        <v>292</v>
      </c>
      <c r="E52" s="8">
        <v>908227</v>
      </c>
      <c r="F52" s="8">
        <v>895486</v>
      </c>
      <c r="G52" s="5" t="s">
        <v>465</v>
      </c>
    </row>
    <row r="53" spans="1:7" x14ac:dyDescent="0.25">
      <c r="A53" s="5" t="s">
        <v>16</v>
      </c>
      <c r="B53" s="5" t="s">
        <v>469</v>
      </c>
      <c r="C53" s="5" t="s">
        <v>470</v>
      </c>
      <c r="D53" s="5" t="s">
        <v>292</v>
      </c>
      <c r="E53" s="8">
        <v>3146852</v>
      </c>
      <c r="F53" s="8">
        <v>3124564</v>
      </c>
      <c r="G53" s="5" t="s">
        <v>471</v>
      </c>
    </row>
    <row r="54" spans="1:7" x14ac:dyDescent="0.25">
      <c r="A54" s="5" t="s">
        <v>17</v>
      </c>
      <c r="B54" s="5" t="s">
        <v>472</v>
      </c>
      <c r="C54" s="5" t="s">
        <v>473</v>
      </c>
      <c r="D54" s="5" t="s">
        <v>293</v>
      </c>
      <c r="E54" s="8">
        <v>795614</v>
      </c>
      <c r="F54" s="8">
        <v>830663</v>
      </c>
      <c r="G54" s="5" t="s">
        <v>474</v>
      </c>
    </row>
    <row r="55" spans="1:7" x14ac:dyDescent="0.25">
      <c r="A55" s="5" t="s">
        <v>17</v>
      </c>
      <c r="B55" s="5" t="s">
        <v>472</v>
      </c>
      <c r="C55" s="5" t="s">
        <v>475</v>
      </c>
      <c r="D55" s="5" t="s">
        <v>292</v>
      </c>
      <c r="E55" s="8">
        <v>524312</v>
      </c>
      <c r="F55" s="8">
        <v>465639</v>
      </c>
      <c r="G55" s="5" t="s">
        <v>476</v>
      </c>
    </row>
    <row r="56" spans="1:7" x14ac:dyDescent="0.25">
      <c r="A56" s="5" t="s">
        <v>18</v>
      </c>
      <c r="B56" s="5" t="s">
        <v>580</v>
      </c>
      <c r="C56" s="5" t="s">
        <v>602</v>
      </c>
      <c r="D56" s="5" t="s">
        <v>292</v>
      </c>
      <c r="E56" s="8">
        <v>864806</v>
      </c>
      <c r="F56" s="8">
        <v>857225</v>
      </c>
      <c r="G56" s="5" t="s">
        <v>603</v>
      </c>
    </row>
    <row r="57" spans="1:7" x14ac:dyDescent="0.25">
      <c r="A57" s="5" t="s">
        <v>18</v>
      </c>
      <c r="B57" s="5" t="s">
        <v>580</v>
      </c>
      <c r="C57" s="5" t="s">
        <v>604</v>
      </c>
      <c r="D57" s="5" t="s">
        <v>292</v>
      </c>
      <c r="E57" s="8">
        <v>530261</v>
      </c>
      <c r="F57" s="8">
        <v>543522</v>
      </c>
      <c r="G57" s="5" t="s">
        <v>603</v>
      </c>
    </row>
    <row r="58" spans="1:7" x14ac:dyDescent="0.25">
      <c r="A58" s="5" t="s">
        <v>19</v>
      </c>
      <c r="B58" s="5" t="s">
        <v>223</v>
      </c>
      <c r="C58" s="5" t="s">
        <v>299</v>
      </c>
      <c r="D58" s="5" t="s">
        <v>292</v>
      </c>
      <c r="E58" s="8">
        <v>1338328</v>
      </c>
      <c r="F58" s="8">
        <v>474312</v>
      </c>
      <c r="G58" s="5" t="s">
        <v>360</v>
      </c>
    </row>
    <row r="59" spans="1:7" x14ac:dyDescent="0.25">
      <c r="A59" s="5" t="s">
        <v>19</v>
      </c>
      <c r="B59" s="5" t="s">
        <v>223</v>
      </c>
      <c r="C59" s="5" t="s">
        <v>300</v>
      </c>
      <c r="D59" s="5" t="s">
        <v>295</v>
      </c>
      <c r="E59" s="8">
        <v>589743</v>
      </c>
      <c r="F59" s="8">
        <v>63564</v>
      </c>
      <c r="G59" s="5" t="s">
        <v>361</v>
      </c>
    </row>
    <row r="60" spans="1:7" x14ac:dyDescent="0.25">
      <c r="A60" s="5" t="s">
        <v>19</v>
      </c>
      <c r="B60" s="5" t="s">
        <v>223</v>
      </c>
      <c r="C60" s="5" t="s">
        <v>394</v>
      </c>
      <c r="D60" s="5" t="s">
        <v>292</v>
      </c>
      <c r="E60" s="8">
        <v>0</v>
      </c>
      <c r="F60" s="8">
        <v>1234012</v>
      </c>
      <c r="G60" s="5" t="s">
        <v>360</v>
      </c>
    </row>
    <row r="61" spans="1:7" x14ac:dyDescent="0.25">
      <c r="A61" s="5" t="s">
        <v>20</v>
      </c>
      <c r="B61" s="5" t="s">
        <v>477</v>
      </c>
      <c r="C61" s="5" t="s">
        <v>478</v>
      </c>
      <c r="D61" s="5" t="s">
        <v>295</v>
      </c>
      <c r="E61" s="8">
        <v>818561</v>
      </c>
      <c r="F61" s="8">
        <v>857531</v>
      </c>
      <c r="G61" s="5" t="s">
        <v>479</v>
      </c>
    </row>
    <row r="62" spans="1:7" x14ac:dyDescent="0.25">
      <c r="A62" s="5" t="s">
        <v>20</v>
      </c>
      <c r="B62" s="5" t="s">
        <v>477</v>
      </c>
      <c r="C62" s="5" t="s">
        <v>480</v>
      </c>
      <c r="D62" s="5" t="s">
        <v>295</v>
      </c>
      <c r="E62" s="8">
        <v>344050</v>
      </c>
      <c r="F62" s="8">
        <v>363401</v>
      </c>
      <c r="G62" s="5" t="s">
        <v>479</v>
      </c>
    </row>
    <row r="63" spans="1:7" x14ac:dyDescent="0.25">
      <c r="A63" s="5" t="s">
        <v>20</v>
      </c>
      <c r="B63" s="5" t="s">
        <v>477</v>
      </c>
      <c r="C63" s="5" t="s">
        <v>481</v>
      </c>
      <c r="D63" s="5" t="s">
        <v>295</v>
      </c>
      <c r="E63" s="8">
        <v>45385</v>
      </c>
      <c r="F63" s="8">
        <v>44573</v>
      </c>
      <c r="G63" s="5" t="s">
        <v>479</v>
      </c>
    </row>
    <row r="64" spans="1:7" x14ac:dyDescent="0.25">
      <c r="A64" s="5" t="s">
        <v>21</v>
      </c>
      <c r="B64" s="5" t="s">
        <v>229</v>
      </c>
      <c r="C64" s="5" t="s">
        <v>482</v>
      </c>
      <c r="D64" s="5" t="s">
        <v>292</v>
      </c>
      <c r="E64" s="8">
        <v>1028678</v>
      </c>
      <c r="F64" s="8">
        <v>970376</v>
      </c>
      <c r="G64" s="5" t="s">
        <v>483</v>
      </c>
    </row>
    <row r="65" spans="1:7" x14ac:dyDescent="0.25">
      <c r="A65" s="5" t="s">
        <v>21</v>
      </c>
      <c r="B65" s="5" t="s">
        <v>229</v>
      </c>
      <c r="C65" s="5" t="s">
        <v>484</v>
      </c>
      <c r="D65" s="5" t="s">
        <v>292</v>
      </c>
      <c r="E65" s="8">
        <v>110579</v>
      </c>
      <c r="F65" s="8">
        <v>90247</v>
      </c>
      <c r="G65" s="5" t="s">
        <v>483</v>
      </c>
    </row>
    <row r="66" spans="1:7" x14ac:dyDescent="0.25">
      <c r="A66" s="5" t="s">
        <v>21</v>
      </c>
      <c r="B66" s="5" t="s">
        <v>229</v>
      </c>
      <c r="C66" s="5" t="s">
        <v>485</v>
      </c>
      <c r="D66" s="5" t="s">
        <v>292</v>
      </c>
      <c r="E66" s="8">
        <v>168546</v>
      </c>
      <c r="F66" s="8">
        <v>182282</v>
      </c>
      <c r="G66" s="5" t="s">
        <v>483</v>
      </c>
    </row>
    <row r="67" spans="1:7" x14ac:dyDescent="0.25">
      <c r="A67" s="5" t="s">
        <v>21</v>
      </c>
      <c r="B67" s="5" t="s">
        <v>229</v>
      </c>
      <c r="C67" s="5" t="s">
        <v>486</v>
      </c>
      <c r="D67" s="5" t="s">
        <v>292</v>
      </c>
      <c r="E67" s="8">
        <v>88772</v>
      </c>
      <c r="F67" s="8">
        <v>95660</v>
      </c>
      <c r="G67" s="5" t="s">
        <v>483</v>
      </c>
    </row>
    <row r="68" spans="1:7" x14ac:dyDescent="0.25">
      <c r="A68" s="5" t="s">
        <v>21</v>
      </c>
      <c r="B68" s="5" t="s">
        <v>229</v>
      </c>
      <c r="C68" s="5" t="s">
        <v>487</v>
      </c>
      <c r="D68" s="5" t="s">
        <v>292</v>
      </c>
      <c r="E68" s="8">
        <v>0</v>
      </c>
      <c r="F68" s="8">
        <v>31114</v>
      </c>
      <c r="G68" s="5" t="s">
        <v>483</v>
      </c>
    </row>
    <row r="69" spans="1:7" x14ac:dyDescent="0.25">
      <c r="A69" s="5" t="s">
        <v>22</v>
      </c>
      <c r="B69" s="5" t="s">
        <v>581</v>
      </c>
      <c r="C69" s="5" t="s">
        <v>605</v>
      </c>
      <c r="D69" s="5" t="s">
        <v>292</v>
      </c>
      <c r="E69" s="8">
        <v>1628897</v>
      </c>
      <c r="F69" s="8">
        <v>1637841</v>
      </c>
      <c r="G69" s="5" t="s">
        <v>606</v>
      </c>
    </row>
    <row r="70" spans="1:7" x14ac:dyDescent="0.25">
      <c r="A70" s="5" t="s">
        <v>23</v>
      </c>
      <c r="B70" s="5" t="s">
        <v>212</v>
      </c>
      <c r="C70" s="5" t="s">
        <v>488</v>
      </c>
      <c r="D70" s="5" t="s">
        <v>292</v>
      </c>
      <c r="E70" s="8">
        <v>1335606</v>
      </c>
      <c r="F70" s="8">
        <v>1357896</v>
      </c>
      <c r="G70" s="5" t="s">
        <v>489</v>
      </c>
    </row>
    <row r="71" spans="1:7" x14ac:dyDescent="0.25">
      <c r="A71" s="5" t="s">
        <v>23</v>
      </c>
      <c r="B71" s="5" t="s">
        <v>212</v>
      </c>
      <c r="C71" s="5" t="s">
        <v>490</v>
      </c>
      <c r="D71" s="5" t="s">
        <v>292</v>
      </c>
      <c r="E71" s="8">
        <v>1021014</v>
      </c>
      <c r="F71" s="8">
        <v>1020242</v>
      </c>
      <c r="G71" s="5" t="s">
        <v>489</v>
      </c>
    </row>
    <row r="72" spans="1:7" x14ac:dyDescent="0.25">
      <c r="A72" s="5" t="s">
        <v>23</v>
      </c>
      <c r="B72" s="5" t="s">
        <v>212</v>
      </c>
      <c r="C72" s="5" t="s">
        <v>491</v>
      </c>
      <c r="D72" s="5" t="s">
        <v>295</v>
      </c>
      <c r="E72" s="8">
        <v>941580</v>
      </c>
      <c r="F72" s="8">
        <v>895713</v>
      </c>
      <c r="G72" s="5" t="s">
        <v>492</v>
      </c>
    </row>
    <row r="73" spans="1:7" x14ac:dyDescent="0.25">
      <c r="A73" s="5" t="s">
        <v>24</v>
      </c>
      <c r="B73" s="5" t="s">
        <v>230</v>
      </c>
      <c r="C73" s="5" t="s">
        <v>301</v>
      </c>
      <c r="D73" s="5" t="s">
        <v>292</v>
      </c>
      <c r="E73" s="8">
        <v>1246441</v>
      </c>
      <c r="F73" s="8">
        <v>1194109</v>
      </c>
      <c r="G73" s="5" t="s">
        <v>362</v>
      </c>
    </row>
    <row r="74" spans="1:7" x14ac:dyDescent="0.25">
      <c r="A74" s="5" t="s">
        <v>24</v>
      </c>
      <c r="B74" s="5" t="s">
        <v>230</v>
      </c>
      <c r="C74" s="5" t="s">
        <v>302</v>
      </c>
      <c r="D74" s="5" t="s">
        <v>293</v>
      </c>
      <c r="E74" s="8">
        <v>298256</v>
      </c>
      <c r="F74" s="8">
        <v>291280</v>
      </c>
      <c r="G74" s="5" t="s">
        <v>363</v>
      </c>
    </row>
    <row r="75" spans="1:7" x14ac:dyDescent="0.25">
      <c r="A75" s="5" t="s">
        <v>24</v>
      </c>
      <c r="B75" s="5" t="s">
        <v>230</v>
      </c>
      <c r="C75" s="5" t="s">
        <v>303</v>
      </c>
      <c r="D75" s="5" t="s">
        <v>292</v>
      </c>
      <c r="E75" s="8">
        <v>47005</v>
      </c>
      <c r="F75" s="8">
        <v>48494</v>
      </c>
      <c r="G75" s="5" t="s">
        <v>362</v>
      </c>
    </row>
    <row r="76" spans="1:7" x14ac:dyDescent="0.25">
      <c r="A76" s="5" t="s">
        <v>25</v>
      </c>
      <c r="B76" s="5" t="s">
        <v>221</v>
      </c>
      <c r="C76" s="5" t="s">
        <v>493</v>
      </c>
      <c r="D76" s="5" t="s">
        <v>293</v>
      </c>
      <c r="E76" s="8">
        <v>1246129</v>
      </c>
      <c r="F76" s="8">
        <v>1246129</v>
      </c>
      <c r="G76" s="5" t="s">
        <v>494</v>
      </c>
    </row>
    <row r="77" spans="1:7" x14ac:dyDescent="0.25">
      <c r="A77" s="5" t="s">
        <v>25</v>
      </c>
      <c r="B77" s="5" t="s">
        <v>221</v>
      </c>
      <c r="C77" s="5" t="s">
        <v>495</v>
      </c>
      <c r="D77" s="5" t="s">
        <v>292</v>
      </c>
      <c r="E77" s="8">
        <v>678363</v>
      </c>
      <c r="F77" s="8">
        <v>678363</v>
      </c>
      <c r="G77" s="5" t="s">
        <v>496</v>
      </c>
    </row>
    <row r="78" spans="1:7" x14ac:dyDescent="0.25">
      <c r="A78" s="5" t="s">
        <v>25</v>
      </c>
      <c r="B78" s="5" t="s">
        <v>221</v>
      </c>
      <c r="C78" s="5" t="s">
        <v>497</v>
      </c>
      <c r="D78" s="5" t="s">
        <v>293</v>
      </c>
      <c r="E78" s="8">
        <v>677460</v>
      </c>
      <c r="F78" s="8">
        <v>677460</v>
      </c>
      <c r="G78" s="5" t="s">
        <v>494</v>
      </c>
    </row>
    <row r="79" spans="1:7" x14ac:dyDescent="0.25">
      <c r="A79" s="5" t="s">
        <v>25</v>
      </c>
      <c r="B79" s="5" t="s">
        <v>221</v>
      </c>
      <c r="C79" s="5" t="s">
        <v>498</v>
      </c>
      <c r="D79" s="5" t="s">
        <v>293</v>
      </c>
      <c r="E79" s="8">
        <v>705417</v>
      </c>
      <c r="F79" s="8">
        <v>705417</v>
      </c>
      <c r="G79" s="5" t="s">
        <v>494</v>
      </c>
    </row>
    <row r="80" spans="1:7" x14ac:dyDescent="0.25">
      <c r="A80" s="5" t="s">
        <v>26</v>
      </c>
      <c r="B80" s="5" t="s">
        <v>231</v>
      </c>
      <c r="C80" s="5" t="s">
        <v>395</v>
      </c>
      <c r="D80" s="5" t="s">
        <v>292</v>
      </c>
      <c r="E80" s="8">
        <v>0</v>
      </c>
      <c r="F80" s="8">
        <v>0</v>
      </c>
      <c r="G80" s="5" t="s">
        <v>364</v>
      </c>
    </row>
    <row r="81" spans="1:7" x14ac:dyDescent="0.25">
      <c r="A81" s="5" t="s">
        <v>27</v>
      </c>
      <c r="B81" s="5" t="s">
        <v>232</v>
      </c>
      <c r="C81" s="5" t="s">
        <v>304</v>
      </c>
      <c r="D81" s="5" t="s">
        <v>293</v>
      </c>
      <c r="E81" s="8">
        <v>1901464</v>
      </c>
      <c r="F81" s="8">
        <v>1930149</v>
      </c>
      <c r="G81" s="5" t="s">
        <v>365</v>
      </c>
    </row>
    <row r="82" spans="1:7" x14ac:dyDescent="0.25">
      <c r="A82" s="5" t="s">
        <v>29</v>
      </c>
      <c r="B82" s="5" t="s">
        <v>234</v>
      </c>
      <c r="C82" s="5" t="s">
        <v>305</v>
      </c>
      <c r="D82" s="5" t="s">
        <v>293</v>
      </c>
      <c r="E82" s="8">
        <v>0</v>
      </c>
      <c r="F82" s="8">
        <v>92966</v>
      </c>
      <c r="G82" s="5" t="s">
        <v>366</v>
      </c>
    </row>
    <row r="83" spans="1:7" x14ac:dyDescent="0.25">
      <c r="A83" s="5" t="s">
        <v>30</v>
      </c>
      <c r="B83" s="5" t="s">
        <v>235</v>
      </c>
      <c r="C83" s="5" t="s">
        <v>306</v>
      </c>
      <c r="D83" s="5" t="s">
        <v>292</v>
      </c>
      <c r="E83" s="8">
        <v>11541600</v>
      </c>
      <c r="F83" s="8">
        <v>10813200</v>
      </c>
      <c r="G83" s="5" t="s">
        <v>367</v>
      </c>
    </row>
    <row r="84" spans="1:7" x14ac:dyDescent="0.25">
      <c r="A84" s="5" t="s">
        <v>30</v>
      </c>
      <c r="B84" s="5" t="s">
        <v>235</v>
      </c>
      <c r="C84" s="5" t="s">
        <v>307</v>
      </c>
      <c r="D84" s="5" t="s">
        <v>292</v>
      </c>
      <c r="E84" s="8">
        <v>5691300</v>
      </c>
      <c r="F84" s="8">
        <v>5591400</v>
      </c>
      <c r="G84" s="5" t="s">
        <v>367</v>
      </c>
    </row>
    <row r="85" spans="1:7" x14ac:dyDescent="0.25">
      <c r="A85" s="5" t="s">
        <v>30</v>
      </c>
      <c r="B85" s="5" t="s">
        <v>235</v>
      </c>
      <c r="C85" s="5" t="s">
        <v>396</v>
      </c>
      <c r="D85" s="5" t="s">
        <v>293</v>
      </c>
      <c r="E85" s="8">
        <v>5690300</v>
      </c>
      <c r="F85" s="8">
        <v>6617600</v>
      </c>
      <c r="G85" s="5" t="s">
        <v>368</v>
      </c>
    </row>
    <row r="86" spans="1:7" x14ac:dyDescent="0.25">
      <c r="A86" s="5" t="s">
        <v>30</v>
      </c>
      <c r="B86" s="5" t="s">
        <v>235</v>
      </c>
      <c r="C86" s="5" t="s">
        <v>308</v>
      </c>
      <c r="D86" s="5" t="s">
        <v>293</v>
      </c>
      <c r="E86" s="8">
        <v>7748200</v>
      </c>
      <c r="F86" s="8">
        <v>7218600</v>
      </c>
      <c r="G86" s="5" t="s">
        <v>368</v>
      </c>
    </row>
    <row r="87" spans="1:7" x14ac:dyDescent="0.25">
      <c r="A87" s="5" t="s">
        <v>30</v>
      </c>
      <c r="B87" s="5" t="s">
        <v>235</v>
      </c>
      <c r="C87" s="5" t="s">
        <v>309</v>
      </c>
      <c r="D87" s="5" t="s">
        <v>293</v>
      </c>
      <c r="E87" s="8">
        <v>3462100</v>
      </c>
      <c r="F87" s="8">
        <v>3445700</v>
      </c>
      <c r="G87" s="5" t="s">
        <v>368</v>
      </c>
    </row>
    <row r="88" spans="1:7" x14ac:dyDescent="0.25">
      <c r="A88" s="5" t="s">
        <v>30</v>
      </c>
      <c r="B88" s="5" t="s">
        <v>235</v>
      </c>
      <c r="C88" s="5" t="s">
        <v>310</v>
      </c>
      <c r="D88" s="5" t="s">
        <v>293</v>
      </c>
      <c r="E88" s="8">
        <v>12364400</v>
      </c>
      <c r="F88" s="8">
        <v>11990400</v>
      </c>
      <c r="G88" s="5" t="s">
        <v>368</v>
      </c>
    </row>
    <row r="89" spans="1:7" x14ac:dyDescent="0.25">
      <c r="A89" s="5" t="s">
        <v>30</v>
      </c>
      <c r="B89" s="5" t="s">
        <v>235</v>
      </c>
      <c r="C89" s="5" t="s">
        <v>311</v>
      </c>
      <c r="D89" s="5" t="s">
        <v>293</v>
      </c>
      <c r="E89" s="8">
        <v>6658200</v>
      </c>
      <c r="F89" s="8">
        <v>7651500</v>
      </c>
      <c r="G89" s="5" t="s">
        <v>368</v>
      </c>
    </row>
    <row r="90" spans="1:7" x14ac:dyDescent="0.25">
      <c r="A90" s="5" t="s">
        <v>30</v>
      </c>
      <c r="B90" s="5" t="s">
        <v>235</v>
      </c>
      <c r="C90" s="5" t="s">
        <v>312</v>
      </c>
      <c r="D90" s="5" t="s">
        <v>293</v>
      </c>
      <c r="E90" s="8">
        <v>928</v>
      </c>
      <c r="F90" s="8">
        <v>3966</v>
      </c>
      <c r="G90" s="5" t="s">
        <v>368</v>
      </c>
    </row>
    <row r="91" spans="1:7" x14ac:dyDescent="0.25">
      <c r="A91" s="5" t="s">
        <v>31</v>
      </c>
      <c r="B91" s="5" t="s">
        <v>236</v>
      </c>
      <c r="C91" s="5" t="s">
        <v>313</v>
      </c>
      <c r="D91" s="5" t="s">
        <v>292</v>
      </c>
      <c r="E91" s="8">
        <v>388645</v>
      </c>
      <c r="F91" s="8">
        <v>302392</v>
      </c>
      <c r="G91" s="5" t="s">
        <v>369</v>
      </c>
    </row>
    <row r="92" spans="1:7" x14ac:dyDescent="0.25">
      <c r="A92" s="5" t="s">
        <v>32</v>
      </c>
      <c r="B92" s="5" t="s">
        <v>224</v>
      </c>
      <c r="C92" s="5" t="s">
        <v>397</v>
      </c>
      <c r="D92" s="5" t="s">
        <v>292</v>
      </c>
      <c r="E92" s="8">
        <v>969623</v>
      </c>
      <c r="F92" s="8">
        <v>1132762</v>
      </c>
      <c r="G92" s="5" t="s">
        <v>370</v>
      </c>
    </row>
    <row r="93" spans="1:7" x14ac:dyDescent="0.25">
      <c r="A93" s="5" t="s">
        <v>32</v>
      </c>
      <c r="B93" s="5" t="s">
        <v>224</v>
      </c>
      <c r="C93" s="5" t="s">
        <v>294</v>
      </c>
      <c r="D93" s="5" t="s">
        <v>292</v>
      </c>
      <c r="E93" s="8">
        <v>993536</v>
      </c>
      <c r="F93" s="8">
        <v>883809</v>
      </c>
      <c r="G93" s="5" t="s">
        <v>370</v>
      </c>
    </row>
    <row r="94" spans="1:7" x14ac:dyDescent="0.25">
      <c r="A94" s="5" t="s">
        <v>33</v>
      </c>
      <c r="B94" s="5" t="s">
        <v>237</v>
      </c>
      <c r="C94" s="5" t="s">
        <v>398</v>
      </c>
      <c r="D94" s="5" t="s">
        <v>292</v>
      </c>
      <c r="E94" s="8">
        <v>3032502</v>
      </c>
      <c r="F94" s="8">
        <v>2961341</v>
      </c>
      <c r="G94" s="5" t="s">
        <v>371</v>
      </c>
    </row>
    <row r="95" spans="1:7" x14ac:dyDescent="0.25">
      <c r="A95" s="5" t="s">
        <v>33</v>
      </c>
      <c r="B95" s="5" t="s">
        <v>237</v>
      </c>
      <c r="C95" s="5" t="s">
        <v>399</v>
      </c>
      <c r="D95" s="5" t="s">
        <v>292</v>
      </c>
      <c r="E95" s="8">
        <v>1560478</v>
      </c>
      <c r="F95" s="8">
        <v>1555582</v>
      </c>
      <c r="G95" s="5" t="s">
        <v>371</v>
      </c>
    </row>
    <row r="96" spans="1:7" x14ac:dyDescent="0.25">
      <c r="A96" s="5" t="s">
        <v>33</v>
      </c>
      <c r="B96" s="5" t="s">
        <v>237</v>
      </c>
      <c r="C96" s="5" t="s">
        <v>400</v>
      </c>
      <c r="D96" s="5" t="s">
        <v>292</v>
      </c>
      <c r="E96" s="8">
        <v>16409</v>
      </c>
      <c r="F96" s="8">
        <v>17068</v>
      </c>
      <c r="G96" s="5" t="s">
        <v>371</v>
      </c>
    </row>
    <row r="97" spans="1:7" x14ac:dyDescent="0.25">
      <c r="A97" s="5" t="s">
        <v>33</v>
      </c>
      <c r="B97" s="5" t="s">
        <v>237</v>
      </c>
      <c r="C97" s="5" t="s">
        <v>401</v>
      </c>
      <c r="D97" s="5" t="s">
        <v>292</v>
      </c>
      <c r="E97" s="8">
        <v>59315</v>
      </c>
      <c r="F97" s="8">
        <v>67941</v>
      </c>
      <c r="G97" s="5" t="s">
        <v>371</v>
      </c>
    </row>
    <row r="98" spans="1:7" x14ac:dyDescent="0.25">
      <c r="A98" s="5" t="s">
        <v>34</v>
      </c>
      <c r="B98" s="5" t="s">
        <v>499</v>
      </c>
      <c r="C98" s="5" t="s">
        <v>500</v>
      </c>
      <c r="D98" s="5" t="s">
        <v>292</v>
      </c>
      <c r="E98" s="8">
        <v>699600</v>
      </c>
      <c r="F98" s="8">
        <v>598585</v>
      </c>
      <c r="G98" s="5" t="s">
        <v>501</v>
      </c>
    </row>
    <row r="99" spans="1:7" x14ac:dyDescent="0.25">
      <c r="A99" s="5" t="s">
        <v>37</v>
      </c>
      <c r="B99" s="5" t="s">
        <v>692</v>
      </c>
      <c r="C99" s="5" t="s">
        <v>693</v>
      </c>
      <c r="D99" s="5" t="s">
        <v>292</v>
      </c>
      <c r="E99" s="8">
        <v>425541</v>
      </c>
      <c r="F99" s="8">
        <v>438533</v>
      </c>
      <c r="G99" s="5" t="s">
        <v>694</v>
      </c>
    </row>
    <row r="100" spans="1:7" x14ac:dyDescent="0.25">
      <c r="A100" s="5" t="s">
        <v>37</v>
      </c>
      <c r="B100" s="5" t="s">
        <v>692</v>
      </c>
      <c r="C100" s="5" t="s">
        <v>695</v>
      </c>
      <c r="D100" s="5" t="s">
        <v>292</v>
      </c>
      <c r="E100" s="8">
        <v>443383</v>
      </c>
      <c r="F100" s="8">
        <v>472029</v>
      </c>
      <c r="G100" s="5" t="s">
        <v>694</v>
      </c>
    </row>
    <row r="101" spans="1:7" x14ac:dyDescent="0.25">
      <c r="A101" s="5" t="s">
        <v>38</v>
      </c>
      <c r="B101" s="5" t="s">
        <v>502</v>
      </c>
      <c r="C101" s="5" t="s">
        <v>503</v>
      </c>
      <c r="D101" s="5" t="s">
        <v>292</v>
      </c>
      <c r="E101" s="8">
        <v>665348</v>
      </c>
      <c r="F101" s="8">
        <v>698197</v>
      </c>
      <c r="G101" s="5" t="s">
        <v>504</v>
      </c>
    </row>
    <row r="102" spans="1:7" x14ac:dyDescent="0.25">
      <c r="A102" s="5" t="s">
        <v>39</v>
      </c>
      <c r="B102" s="5" t="s">
        <v>238</v>
      </c>
      <c r="C102" s="5" t="s">
        <v>402</v>
      </c>
      <c r="D102" s="5" t="s">
        <v>296</v>
      </c>
      <c r="E102" s="8">
        <v>2472131</v>
      </c>
      <c r="F102" s="8">
        <v>2547433</v>
      </c>
      <c r="G102" s="5" t="s">
        <v>372</v>
      </c>
    </row>
    <row r="103" spans="1:7" x14ac:dyDescent="0.25">
      <c r="A103" s="5" t="s">
        <v>39</v>
      </c>
      <c r="B103" s="5" t="s">
        <v>238</v>
      </c>
      <c r="C103" s="5" t="s">
        <v>403</v>
      </c>
      <c r="D103" s="5" t="s">
        <v>293</v>
      </c>
      <c r="E103" s="8">
        <v>1429780</v>
      </c>
      <c r="F103" s="8">
        <v>1397546</v>
      </c>
      <c r="G103" s="5" t="s">
        <v>373</v>
      </c>
    </row>
    <row r="104" spans="1:7" x14ac:dyDescent="0.25">
      <c r="A104" s="5" t="s">
        <v>40</v>
      </c>
      <c r="B104" s="5" t="s">
        <v>225</v>
      </c>
      <c r="C104" s="5" t="s">
        <v>314</v>
      </c>
      <c r="D104" s="5" t="s">
        <v>296</v>
      </c>
      <c r="E104" s="8">
        <v>0</v>
      </c>
      <c r="F104" s="8">
        <v>584000</v>
      </c>
      <c r="G104" s="5" t="s">
        <v>374</v>
      </c>
    </row>
    <row r="105" spans="1:7" x14ac:dyDescent="0.25">
      <c r="A105" s="5" t="s">
        <v>40</v>
      </c>
      <c r="B105" s="5" t="s">
        <v>225</v>
      </c>
      <c r="C105" s="5" t="s">
        <v>315</v>
      </c>
      <c r="D105" s="5" t="s">
        <v>292</v>
      </c>
      <c r="E105" s="8">
        <v>3351350</v>
      </c>
      <c r="F105" s="8">
        <v>2813007</v>
      </c>
      <c r="G105" s="5" t="s">
        <v>375</v>
      </c>
    </row>
    <row r="106" spans="1:7" x14ac:dyDescent="0.25">
      <c r="A106" s="5" t="s">
        <v>40</v>
      </c>
      <c r="B106" s="5" t="s">
        <v>225</v>
      </c>
      <c r="C106" s="5" t="s">
        <v>316</v>
      </c>
      <c r="D106" s="5" t="s">
        <v>292</v>
      </c>
      <c r="E106" s="8">
        <v>78714</v>
      </c>
      <c r="F106" s="8">
        <v>72556</v>
      </c>
      <c r="G106" s="5" t="s">
        <v>375</v>
      </c>
    </row>
    <row r="107" spans="1:7" x14ac:dyDescent="0.25">
      <c r="A107" s="5" t="s">
        <v>40</v>
      </c>
      <c r="B107" s="5" t="s">
        <v>225</v>
      </c>
      <c r="C107" s="5" t="s">
        <v>317</v>
      </c>
      <c r="D107" s="5" t="s">
        <v>293</v>
      </c>
      <c r="E107" s="8">
        <v>19904</v>
      </c>
      <c r="F107" s="8">
        <v>19955</v>
      </c>
      <c r="G107" s="5" t="s">
        <v>376</v>
      </c>
    </row>
    <row r="108" spans="1:7" x14ac:dyDescent="0.25">
      <c r="A108" s="5" t="s">
        <v>40</v>
      </c>
      <c r="B108" s="5" t="s">
        <v>225</v>
      </c>
      <c r="C108" s="5" t="s">
        <v>505</v>
      </c>
      <c r="D108" s="5" t="s">
        <v>292</v>
      </c>
      <c r="E108" s="8">
        <v>3712</v>
      </c>
      <c r="F108" s="8">
        <v>3728</v>
      </c>
      <c r="G108" s="5" t="s">
        <v>375</v>
      </c>
    </row>
    <row r="109" spans="1:7" x14ac:dyDescent="0.25">
      <c r="A109" s="5" t="s">
        <v>40</v>
      </c>
      <c r="B109" s="5" t="s">
        <v>225</v>
      </c>
      <c r="C109" s="5" t="s">
        <v>506</v>
      </c>
      <c r="D109" s="5" t="s">
        <v>292</v>
      </c>
      <c r="E109" s="8">
        <v>7600</v>
      </c>
      <c r="F109" s="8">
        <v>8371</v>
      </c>
      <c r="G109" s="5" t="s">
        <v>375</v>
      </c>
    </row>
    <row r="110" spans="1:7" x14ac:dyDescent="0.25">
      <c r="A110" s="5" t="s">
        <v>41</v>
      </c>
      <c r="B110" s="5" t="s">
        <v>583</v>
      </c>
      <c r="C110" s="5" t="s">
        <v>609</v>
      </c>
      <c r="D110" s="5" t="s">
        <v>296</v>
      </c>
      <c r="E110" s="8">
        <v>4084</v>
      </c>
      <c r="F110" s="8">
        <v>1717</v>
      </c>
      <c r="G110" s="5" t="s">
        <v>611</v>
      </c>
    </row>
    <row r="111" spans="1:7" x14ac:dyDescent="0.25">
      <c r="A111" s="5" t="s">
        <v>41</v>
      </c>
      <c r="B111" s="5" t="s">
        <v>583</v>
      </c>
      <c r="C111" s="5" t="s">
        <v>607</v>
      </c>
      <c r="D111" s="5" t="s">
        <v>292</v>
      </c>
      <c r="E111" s="8">
        <v>669598</v>
      </c>
      <c r="F111" s="8">
        <v>657044</v>
      </c>
      <c r="G111" s="5" t="s">
        <v>608</v>
      </c>
    </row>
    <row r="112" spans="1:7" x14ac:dyDescent="0.25">
      <c r="A112" s="5" t="s">
        <v>41</v>
      </c>
      <c r="B112" s="5" t="s">
        <v>583</v>
      </c>
      <c r="C112" s="5" t="s">
        <v>609</v>
      </c>
      <c r="D112" s="5" t="s">
        <v>292</v>
      </c>
      <c r="E112" s="8">
        <v>4372</v>
      </c>
      <c r="F112" s="8">
        <v>8240</v>
      </c>
      <c r="G112" s="5" t="s">
        <v>608</v>
      </c>
    </row>
    <row r="113" spans="1:7" x14ac:dyDescent="0.25">
      <c r="A113" s="5" t="s">
        <v>41</v>
      </c>
      <c r="B113" s="5" t="s">
        <v>583</v>
      </c>
      <c r="C113" s="5" t="s">
        <v>610</v>
      </c>
      <c r="D113" s="5" t="s">
        <v>296</v>
      </c>
      <c r="E113" s="8">
        <v>296533</v>
      </c>
      <c r="F113" s="8">
        <v>291240</v>
      </c>
      <c r="G113" s="5" t="s">
        <v>611</v>
      </c>
    </row>
    <row r="114" spans="1:7" x14ac:dyDescent="0.25">
      <c r="A114" s="5" t="s">
        <v>41</v>
      </c>
      <c r="B114" s="5" t="s">
        <v>583</v>
      </c>
      <c r="C114" s="5" t="s">
        <v>612</v>
      </c>
      <c r="D114" s="5" t="s">
        <v>296</v>
      </c>
      <c r="E114" s="8">
        <v>12693</v>
      </c>
      <c r="F114" s="8">
        <v>15078</v>
      </c>
      <c r="G114" s="5" t="s">
        <v>611</v>
      </c>
    </row>
    <row r="115" spans="1:7" x14ac:dyDescent="0.25">
      <c r="A115" s="5" t="s">
        <v>41</v>
      </c>
      <c r="B115" s="5" t="s">
        <v>583</v>
      </c>
      <c r="C115" s="5" t="s">
        <v>613</v>
      </c>
      <c r="D115" s="5" t="s">
        <v>296</v>
      </c>
      <c r="E115" s="8">
        <v>2852</v>
      </c>
      <c r="F115" s="8">
        <v>3312</v>
      </c>
      <c r="G115" s="5" t="s">
        <v>611</v>
      </c>
    </row>
    <row r="116" spans="1:7" x14ac:dyDescent="0.25">
      <c r="A116" s="5" t="s">
        <v>41</v>
      </c>
      <c r="B116" s="5" t="s">
        <v>583</v>
      </c>
      <c r="C116" s="5" t="s">
        <v>614</v>
      </c>
      <c r="D116" s="5" t="s">
        <v>296</v>
      </c>
      <c r="E116" s="8">
        <v>884</v>
      </c>
      <c r="F116" s="8">
        <v>829</v>
      </c>
      <c r="G116" s="5" t="s">
        <v>611</v>
      </c>
    </row>
    <row r="117" spans="1:7" x14ac:dyDescent="0.25">
      <c r="A117" s="5" t="s">
        <v>41</v>
      </c>
      <c r="B117" s="5" t="s">
        <v>583</v>
      </c>
      <c r="C117" s="5" t="s">
        <v>615</v>
      </c>
      <c r="D117" s="5" t="s">
        <v>296</v>
      </c>
      <c r="E117" s="8">
        <v>5744</v>
      </c>
      <c r="F117" s="8">
        <v>6563</v>
      </c>
      <c r="G117" s="5" t="s">
        <v>611</v>
      </c>
    </row>
    <row r="118" spans="1:7" x14ac:dyDescent="0.25">
      <c r="A118" s="5" t="s">
        <v>42</v>
      </c>
      <c r="B118" s="5" t="s">
        <v>239</v>
      </c>
      <c r="C118" s="5" t="s">
        <v>507</v>
      </c>
      <c r="D118" s="5" t="s">
        <v>292</v>
      </c>
      <c r="E118" s="8">
        <v>1212125</v>
      </c>
      <c r="F118" s="8">
        <v>1282366</v>
      </c>
      <c r="G118" s="5" t="s">
        <v>508</v>
      </c>
    </row>
    <row r="119" spans="1:7" x14ac:dyDescent="0.25">
      <c r="A119" s="5" t="s">
        <v>42</v>
      </c>
      <c r="B119" s="5" t="s">
        <v>239</v>
      </c>
      <c r="C119" s="5" t="s">
        <v>509</v>
      </c>
      <c r="D119" s="5" t="s">
        <v>292</v>
      </c>
      <c r="E119" s="8">
        <v>493091</v>
      </c>
      <c r="F119" s="8">
        <v>481115</v>
      </c>
      <c r="G119" s="5" t="s">
        <v>508</v>
      </c>
    </row>
    <row r="120" spans="1:7" x14ac:dyDescent="0.25">
      <c r="A120" s="5" t="s">
        <v>43</v>
      </c>
      <c r="B120" s="5" t="s">
        <v>287</v>
      </c>
      <c r="C120" s="5" t="s">
        <v>510</v>
      </c>
      <c r="D120" s="5" t="s">
        <v>292</v>
      </c>
      <c r="E120" s="8">
        <v>683927</v>
      </c>
      <c r="F120" s="8">
        <v>698920</v>
      </c>
      <c r="G120" s="5" t="s">
        <v>511</v>
      </c>
    </row>
    <row r="121" spans="1:7" x14ac:dyDescent="0.25">
      <c r="A121" s="5" t="s">
        <v>43</v>
      </c>
      <c r="B121" s="5" t="s">
        <v>287</v>
      </c>
      <c r="C121" s="5" t="s">
        <v>512</v>
      </c>
      <c r="D121" s="5" t="s">
        <v>292</v>
      </c>
      <c r="E121" s="8">
        <v>564436</v>
      </c>
      <c r="F121" s="8">
        <v>561934</v>
      </c>
      <c r="G121" s="5" t="s">
        <v>511</v>
      </c>
    </row>
    <row r="122" spans="1:7" x14ac:dyDescent="0.25">
      <c r="A122" s="5" t="s">
        <v>43</v>
      </c>
      <c r="B122" s="5" t="s">
        <v>287</v>
      </c>
      <c r="C122" s="5" t="s">
        <v>513</v>
      </c>
      <c r="D122" s="5" t="s">
        <v>292</v>
      </c>
      <c r="E122" s="8">
        <v>705753</v>
      </c>
      <c r="F122" s="8">
        <v>682619</v>
      </c>
      <c r="G122" s="5" t="s">
        <v>511</v>
      </c>
    </row>
    <row r="123" spans="1:7" x14ac:dyDescent="0.25">
      <c r="A123" s="5" t="s">
        <v>44</v>
      </c>
      <c r="B123" s="5" t="s">
        <v>240</v>
      </c>
      <c r="C123" s="5" t="s">
        <v>514</v>
      </c>
      <c r="D123" s="5" t="s">
        <v>292</v>
      </c>
      <c r="E123" s="8">
        <v>651770</v>
      </c>
      <c r="F123" s="8">
        <v>626989</v>
      </c>
      <c r="G123" s="5" t="s">
        <v>515</v>
      </c>
    </row>
    <row r="124" spans="1:7" x14ac:dyDescent="0.25">
      <c r="A124" s="5" t="s">
        <v>44</v>
      </c>
      <c r="B124" s="5" t="s">
        <v>240</v>
      </c>
      <c r="C124" s="5" t="s">
        <v>516</v>
      </c>
      <c r="D124" s="5" t="s">
        <v>292</v>
      </c>
      <c r="E124" s="8">
        <v>549745</v>
      </c>
      <c r="F124" s="8">
        <v>553883</v>
      </c>
      <c r="G124" s="5" t="s">
        <v>515</v>
      </c>
    </row>
    <row r="125" spans="1:7" x14ac:dyDescent="0.25">
      <c r="A125" s="5" t="s">
        <v>44</v>
      </c>
      <c r="B125" s="5" t="s">
        <v>240</v>
      </c>
      <c r="C125" s="5" t="s">
        <v>517</v>
      </c>
      <c r="D125" s="5" t="s">
        <v>292</v>
      </c>
      <c r="E125" s="8">
        <v>373203</v>
      </c>
      <c r="F125" s="8">
        <v>356826</v>
      </c>
      <c r="G125" s="5" t="s">
        <v>515</v>
      </c>
    </row>
    <row r="126" spans="1:7" x14ac:dyDescent="0.25">
      <c r="A126" s="5" t="s">
        <v>44</v>
      </c>
      <c r="B126" s="5" t="s">
        <v>240</v>
      </c>
      <c r="C126" s="5" t="s">
        <v>518</v>
      </c>
      <c r="D126" s="5" t="s">
        <v>292</v>
      </c>
      <c r="E126" s="8">
        <v>290076</v>
      </c>
      <c r="F126" s="8">
        <v>246502</v>
      </c>
      <c r="G126" s="5" t="s">
        <v>515</v>
      </c>
    </row>
    <row r="127" spans="1:7" x14ac:dyDescent="0.25">
      <c r="A127" s="5" t="s">
        <v>45</v>
      </c>
      <c r="B127" s="5" t="s">
        <v>241</v>
      </c>
      <c r="C127" s="5" t="s">
        <v>318</v>
      </c>
      <c r="D127" s="5" t="s">
        <v>293</v>
      </c>
      <c r="E127" s="8">
        <v>1775070</v>
      </c>
      <c r="F127" s="8">
        <v>1577369</v>
      </c>
      <c r="G127" s="5" t="s">
        <v>377</v>
      </c>
    </row>
    <row r="128" spans="1:7" x14ac:dyDescent="0.25">
      <c r="A128" s="5" t="s">
        <v>46</v>
      </c>
      <c r="B128" s="5" t="s">
        <v>616</v>
      </c>
      <c r="C128" s="5" t="s">
        <v>617</v>
      </c>
      <c r="D128" s="5" t="s">
        <v>296</v>
      </c>
      <c r="E128" s="8">
        <v>99413</v>
      </c>
      <c r="F128" s="8">
        <v>104037</v>
      </c>
      <c r="G128" s="5" t="s">
        <v>618</v>
      </c>
    </row>
    <row r="129" spans="1:7" x14ac:dyDescent="0.25">
      <c r="A129" s="5" t="s">
        <v>46</v>
      </c>
      <c r="B129" s="5" t="s">
        <v>616</v>
      </c>
      <c r="C129" s="5" t="s">
        <v>619</v>
      </c>
      <c r="D129" s="5" t="s">
        <v>292</v>
      </c>
      <c r="E129" s="8">
        <v>773363</v>
      </c>
      <c r="F129" s="8">
        <v>816939</v>
      </c>
      <c r="G129" s="5" t="s">
        <v>620</v>
      </c>
    </row>
    <row r="130" spans="1:7" x14ac:dyDescent="0.25">
      <c r="A130" s="5" t="s">
        <v>46</v>
      </c>
      <c r="B130" s="5" t="s">
        <v>616</v>
      </c>
      <c r="C130" s="5" t="s">
        <v>621</v>
      </c>
      <c r="D130" s="5" t="s">
        <v>292</v>
      </c>
      <c r="E130" s="8">
        <v>556006</v>
      </c>
      <c r="F130" s="8">
        <v>567406</v>
      </c>
      <c r="G130" s="5" t="s">
        <v>620</v>
      </c>
    </row>
    <row r="131" spans="1:7" x14ac:dyDescent="0.25">
      <c r="A131" s="5" t="s">
        <v>46</v>
      </c>
      <c r="B131" s="5" t="s">
        <v>616</v>
      </c>
      <c r="C131" s="5" t="s">
        <v>622</v>
      </c>
      <c r="D131" s="5" t="s">
        <v>292</v>
      </c>
      <c r="E131" s="8">
        <v>27194</v>
      </c>
      <c r="F131" s="8">
        <v>28724</v>
      </c>
      <c r="G131" s="5" t="s">
        <v>620</v>
      </c>
    </row>
    <row r="132" spans="1:7" x14ac:dyDescent="0.25">
      <c r="A132" s="5" t="s">
        <v>46</v>
      </c>
      <c r="B132" s="5" t="s">
        <v>616</v>
      </c>
      <c r="C132" s="5" t="s">
        <v>623</v>
      </c>
      <c r="D132" s="5" t="s">
        <v>296</v>
      </c>
      <c r="E132" s="8">
        <v>3776</v>
      </c>
      <c r="F132" s="8">
        <v>3800</v>
      </c>
      <c r="G132" s="5" t="s">
        <v>618</v>
      </c>
    </row>
    <row r="133" spans="1:7" x14ac:dyDescent="0.25">
      <c r="A133" s="5" t="s">
        <v>47</v>
      </c>
      <c r="B133" s="5" t="s">
        <v>242</v>
      </c>
      <c r="C133" s="5" t="s">
        <v>319</v>
      </c>
      <c r="D133" s="5" t="s">
        <v>292</v>
      </c>
      <c r="E133" s="8">
        <v>152000</v>
      </c>
      <c r="F133" s="8">
        <v>218716</v>
      </c>
      <c r="G133" s="5" t="s">
        <v>378</v>
      </c>
    </row>
    <row r="134" spans="1:7" x14ac:dyDescent="0.25">
      <c r="A134" s="5" t="s">
        <v>47</v>
      </c>
      <c r="B134" s="5" t="s">
        <v>242</v>
      </c>
      <c r="C134" s="5" t="s">
        <v>320</v>
      </c>
      <c r="D134" s="5" t="s">
        <v>292</v>
      </c>
      <c r="E134" s="8">
        <v>92637</v>
      </c>
      <c r="F134" s="8">
        <v>38646</v>
      </c>
      <c r="G134" s="5" t="s">
        <v>378</v>
      </c>
    </row>
    <row r="135" spans="1:7" x14ac:dyDescent="0.25">
      <c r="A135" s="5" t="s">
        <v>47</v>
      </c>
      <c r="B135" s="5" t="s">
        <v>242</v>
      </c>
      <c r="C135" s="5" t="s">
        <v>321</v>
      </c>
      <c r="D135" s="5" t="s">
        <v>292</v>
      </c>
      <c r="E135" s="8">
        <v>697850</v>
      </c>
      <c r="F135" s="8">
        <v>660693</v>
      </c>
      <c r="G135" s="5" t="s">
        <v>378</v>
      </c>
    </row>
    <row r="136" spans="1:7" x14ac:dyDescent="0.25">
      <c r="A136" s="5" t="s">
        <v>47</v>
      </c>
      <c r="B136" s="5" t="s">
        <v>242</v>
      </c>
      <c r="C136" s="5" t="s">
        <v>322</v>
      </c>
      <c r="D136" s="5" t="s">
        <v>292</v>
      </c>
      <c r="E136" s="8">
        <v>146538</v>
      </c>
      <c r="F136" s="8">
        <v>129116</v>
      </c>
      <c r="G136" s="5" t="s">
        <v>378</v>
      </c>
    </row>
    <row r="137" spans="1:7" x14ac:dyDescent="0.25">
      <c r="A137" s="5" t="s">
        <v>47</v>
      </c>
      <c r="B137" s="5" t="s">
        <v>242</v>
      </c>
      <c r="C137" s="5" t="s">
        <v>323</v>
      </c>
      <c r="D137" s="5" t="s">
        <v>292</v>
      </c>
      <c r="E137" s="8">
        <v>653273</v>
      </c>
      <c r="F137" s="8">
        <v>698573</v>
      </c>
      <c r="G137" s="5" t="s">
        <v>378</v>
      </c>
    </row>
    <row r="138" spans="1:7" x14ac:dyDescent="0.25">
      <c r="A138" s="5" t="s">
        <v>48</v>
      </c>
      <c r="B138" s="5" t="s">
        <v>213</v>
      </c>
      <c r="C138" s="5" t="s">
        <v>519</v>
      </c>
      <c r="D138" s="5" t="s">
        <v>292</v>
      </c>
      <c r="E138" s="8">
        <v>905673</v>
      </c>
      <c r="F138" s="8">
        <v>911331</v>
      </c>
      <c r="G138" s="5" t="s">
        <v>520</v>
      </c>
    </row>
    <row r="139" spans="1:7" x14ac:dyDescent="0.25">
      <c r="A139" s="5" t="s">
        <v>48</v>
      </c>
      <c r="B139" s="5" t="s">
        <v>213</v>
      </c>
      <c r="C139" s="5" t="s">
        <v>521</v>
      </c>
      <c r="D139" s="5" t="s">
        <v>292</v>
      </c>
      <c r="E139" s="8">
        <v>332651</v>
      </c>
      <c r="F139" s="8">
        <v>321687</v>
      </c>
      <c r="G139" s="5" t="s">
        <v>520</v>
      </c>
    </row>
    <row r="140" spans="1:7" x14ac:dyDescent="0.25">
      <c r="A140" s="5" t="s">
        <v>48</v>
      </c>
      <c r="B140" s="5" t="s">
        <v>213</v>
      </c>
      <c r="C140" s="5" t="s">
        <v>522</v>
      </c>
      <c r="D140" s="5" t="s">
        <v>292</v>
      </c>
      <c r="E140" s="8">
        <v>55199</v>
      </c>
      <c r="F140" s="8">
        <v>56811</v>
      </c>
      <c r="G140" s="5" t="s">
        <v>520</v>
      </c>
    </row>
    <row r="141" spans="1:7" x14ac:dyDescent="0.25">
      <c r="A141" s="5" t="s">
        <v>49</v>
      </c>
      <c r="B141" s="5" t="s">
        <v>243</v>
      </c>
      <c r="C141" s="5" t="s">
        <v>523</v>
      </c>
      <c r="D141" s="5" t="s">
        <v>292</v>
      </c>
      <c r="E141" s="8">
        <v>965668</v>
      </c>
      <c r="F141" s="8">
        <v>1292226</v>
      </c>
      <c r="G141" s="5" t="s">
        <v>524</v>
      </c>
    </row>
    <row r="142" spans="1:7" x14ac:dyDescent="0.25">
      <c r="A142" s="5" t="s">
        <v>49</v>
      </c>
      <c r="B142" s="5" t="s">
        <v>243</v>
      </c>
      <c r="C142" s="5" t="s">
        <v>525</v>
      </c>
      <c r="D142" s="5" t="s">
        <v>292</v>
      </c>
      <c r="E142" s="8">
        <v>1418272</v>
      </c>
      <c r="F142" s="8">
        <v>1186867</v>
      </c>
      <c r="G142" s="5" t="s">
        <v>524</v>
      </c>
    </row>
    <row r="143" spans="1:7" x14ac:dyDescent="0.25">
      <c r="A143" s="5" t="s">
        <v>50</v>
      </c>
      <c r="B143" s="5" t="s">
        <v>214</v>
      </c>
      <c r="C143" s="5" t="s">
        <v>325</v>
      </c>
      <c r="D143" s="5" t="s">
        <v>295</v>
      </c>
      <c r="E143" s="8">
        <v>538432</v>
      </c>
      <c r="F143" s="8">
        <v>597352</v>
      </c>
      <c r="G143" s="5" t="s">
        <v>404</v>
      </c>
    </row>
    <row r="144" spans="1:7" x14ac:dyDescent="0.25">
      <c r="A144" s="5" t="s">
        <v>50</v>
      </c>
      <c r="B144" s="5" t="s">
        <v>214</v>
      </c>
      <c r="C144" s="5" t="s">
        <v>324</v>
      </c>
      <c r="D144" s="5" t="s">
        <v>296</v>
      </c>
      <c r="E144" s="8">
        <v>393512</v>
      </c>
      <c r="F144" s="8">
        <v>363477</v>
      </c>
      <c r="G144" s="5" t="s">
        <v>405</v>
      </c>
    </row>
    <row r="145" spans="1:7" x14ac:dyDescent="0.25">
      <c r="A145" s="5" t="s">
        <v>51</v>
      </c>
      <c r="B145" s="5" t="s">
        <v>215</v>
      </c>
      <c r="C145" s="5" t="s">
        <v>624</v>
      </c>
      <c r="D145" s="5" t="s">
        <v>292</v>
      </c>
      <c r="E145" s="8">
        <v>1567789</v>
      </c>
      <c r="F145" s="8">
        <v>1423908</v>
      </c>
      <c r="G145" s="5" t="s">
        <v>625</v>
      </c>
    </row>
    <row r="146" spans="1:7" x14ac:dyDescent="0.25">
      <c r="A146" s="5" t="s">
        <v>51</v>
      </c>
      <c r="B146" s="5" t="s">
        <v>215</v>
      </c>
      <c r="C146" s="5" t="s">
        <v>626</v>
      </c>
      <c r="D146" s="5" t="s">
        <v>292</v>
      </c>
      <c r="E146" s="8">
        <v>575261</v>
      </c>
      <c r="F146" s="8">
        <v>589712</v>
      </c>
      <c r="G146" s="5" t="s">
        <v>625</v>
      </c>
    </row>
    <row r="147" spans="1:7" x14ac:dyDescent="0.25">
      <c r="A147" s="5" t="s">
        <v>51</v>
      </c>
      <c r="B147" s="5" t="s">
        <v>215</v>
      </c>
      <c r="C147" s="5" t="s">
        <v>627</v>
      </c>
      <c r="D147" s="5" t="s">
        <v>292</v>
      </c>
      <c r="E147" s="8">
        <v>630402</v>
      </c>
      <c r="F147" s="8">
        <v>644567</v>
      </c>
      <c r="G147" s="5" t="s">
        <v>625</v>
      </c>
    </row>
    <row r="148" spans="1:7" x14ac:dyDescent="0.25">
      <c r="A148" s="5" t="s">
        <v>51</v>
      </c>
      <c r="B148" s="5" t="s">
        <v>215</v>
      </c>
      <c r="C148" s="5" t="s">
        <v>628</v>
      </c>
      <c r="D148" s="5" t="s">
        <v>292</v>
      </c>
      <c r="E148" s="8">
        <v>430676</v>
      </c>
      <c r="F148" s="8">
        <v>617946</v>
      </c>
      <c r="G148" s="5" t="s">
        <v>625</v>
      </c>
    </row>
    <row r="149" spans="1:7" x14ac:dyDescent="0.25">
      <c r="A149" s="5" t="s">
        <v>51</v>
      </c>
      <c r="B149" s="5" t="s">
        <v>215</v>
      </c>
      <c r="C149" s="5" t="s">
        <v>629</v>
      </c>
      <c r="D149" s="5" t="s">
        <v>292</v>
      </c>
      <c r="E149" s="8">
        <v>18434</v>
      </c>
      <c r="F149" s="8">
        <v>17992</v>
      </c>
      <c r="G149" s="5" t="s">
        <v>625</v>
      </c>
    </row>
    <row r="150" spans="1:7" x14ac:dyDescent="0.25">
      <c r="A150" s="5" t="s">
        <v>52</v>
      </c>
      <c r="B150" s="5" t="s">
        <v>244</v>
      </c>
      <c r="C150" s="5" t="s">
        <v>406</v>
      </c>
      <c r="D150" s="5" t="s">
        <v>292</v>
      </c>
      <c r="E150" s="8">
        <v>93238</v>
      </c>
      <c r="F150" s="8">
        <v>207839</v>
      </c>
      <c r="G150" s="5" t="s">
        <v>379</v>
      </c>
    </row>
    <row r="151" spans="1:7" x14ac:dyDescent="0.25">
      <c r="A151" s="5" t="s">
        <v>52</v>
      </c>
      <c r="B151" s="5" t="s">
        <v>244</v>
      </c>
      <c r="C151" s="5" t="s">
        <v>407</v>
      </c>
      <c r="D151" s="5" t="s">
        <v>292</v>
      </c>
      <c r="E151" s="8">
        <v>0</v>
      </c>
      <c r="F151" s="8">
        <v>22881</v>
      </c>
      <c r="G151" s="5" t="s">
        <v>379</v>
      </c>
    </row>
    <row r="152" spans="1:7" x14ac:dyDescent="0.25">
      <c r="A152" s="5" t="s">
        <v>52</v>
      </c>
      <c r="B152" s="5" t="s">
        <v>244</v>
      </c>
      <c r="C152" s="5" t="s">
        <v>408</v>
      </c>
      <c r="D152" s="5" t="s">
        <v>292</v>
      </c>
      <c r="E152" s="8">
        <v>672585</v>
      </c>
      <c r="F152" s="8">
        <v>553334</v>
      </c>
      <c r="G152" s="5" t="s">
        <v>379</v>
      </c>
    </row>
    <row r="153" spans="1:7" x14ac:dyDescent="0.25">
      <c r="A153" s="5" t="s">
        <v>52</v>
      </c>
      <c r="B153" s="5" t="s">
        <v>244</v>
      </c>
      <c r="C153" s="5" t="s">
        <v>409</v>
      </c>
      <c r="D153" s="5" t="s">
        <v>292</v>
      </c>
      <c r="E153" s="8">
        <v>1029332</v>
      </c>
      <c r="F153" s="8">
        <v>718648</v>
      </c>
      <c r="G153" s="5" t="s">
        <v>379</v>
      </c>
    </row>
    <row r="154" spans="1:7" x14ac:dyDescent="0.25">
      <c r="A154" s="5" t="s">
        <v>53</v>
      </c>
      <c r="B154" s="5" t="s">
        <v>245</v>
      </c>
      <c r="C154" s="5" t="s">
        <v>410</v>
      </c>
      <c r="D154" s="5" t="s">
        <v>292</v>
      </c>
      <c r="E154" s="8">
        <v>3651418</v>
      </c>
      <c r="F154" s="8">
        <v>3388391</v>
      </c>
      <c r="G154" s="5" t="s">
        <v>380</v>
      </c>
    </row>
    <row r="155" spans="1:7" x14ac:dyDescent="0.25">
      <c r="A155" s="5" t="s">
        <v>53</v>
      </c>
      <c r="B155" s="5" t="s">
        <v>245</v>
      </c>
      <c r="C155" s="5" t="s">
        <v>326</v>
      </c>
      <c r="D155" s="5" t="s">
        <v>293</v>
      </c>
      <c r="E155" s="8">
        <v>3287</v>
      </c>
      <c r="F155" s="8">
        <v>128339</v>
      </c>
      <c r="G155" s="5" t="s">
        <v>381</v>
      </c>
    </row>
    <row r="156" spans="1:7" x14ac:dyDescent="0.25">
      <c r="A156" s="5" t="s">
        <v>54</v>
      </c>
      <c r="B156" s="5" t="s">
        <v>246</v>
      </c>
      <c r="C156" s="5" t="s">
        <v>526</v>
      </c>
      <c r="D156" s="5" t="s">
        <v>292</v>
      </c>
      <c r="E156" s="8">
        <v>677921</v>
      </c>
      <c r="F156" s="8">
        <v>725727</v>
      </c>
      <c r="G156" s="5" t="s">
        <v>527</v>
      </c>
    </row>
    <row r="157" spans="1:7" x14ac:dyDescent="0.25">
      <c r="A157" s="5" t="s">
        <v>54</v>
      </c>
      <c r="B157" s="5" t="s">
        <v>246</v>
      </c>
      <c r="C157" s="5" t="s">
        <v>528</v>
      </c>
      <c r="D157" s="5" t="s">
        <v>292</v>
      </c>
      <c r="E157" s="8">
        <v>975803</v>
      </c>
      <c r="F157" s="8">
        <v>895294</v>
      </c>
      <c r="G157" s="5" t="s">
        <v>527</v>
      </c>
    </row>
    <row r="158" spans="1:7" x14ac:dyDescent="0.25">
      <c r="A158" s="5" t="s">
        <v>55</v>
      </c>
      <c r="B158" s="5" t="s">
        <v>247</v>
      </c>
      <c r="C158" s="5" t="s">
        <v>327</v>
      </c>
      <c r="D158" s="5" t="s">
        <v>293</v>
      </c>
      <c r="E158" s="8">
        <v>447465</v>
      </c>
      <c r="F158" s="8">
        <v>439949</v>
      </c>
      <c r="G158" s="5" t="s">
        <v>382</v>
      </c>
    </row>
    <row r="159" spans="1:7" x14ac:dyDescent="0.25">
      <c r="A159" s="5" t="s">
        <v>55</v>
      </c>
      <c r="B159" s="5" t="s">
        <v>247</v>
      </c>
      <c r="C159" s="5" t="s">
        <v>328</v>
      </c>
      <c r="D159" s="5" t="s">
        <v>293</v>
      </c>
      <c r="E159" s="8">
        <v>149630</v>
      </c>
      <c r="F159" s="8">
        <v>156580</v>
      </c>
      <c r="G159" s="5" t="s">
        <v>382</v>
      </c>
    </row>
    <row r="160" spans="1:7" x14ac:dyDescent="0.25">
      <c r="A160" s="5" t="s">
        <v>55</v>
      </c>
      <c r="B160" s="5" t="s">
        <v>247</v>
      </c>
      <c r="C160" s="5" t="s">
        <v>329</v>
      </c>
      <c r="D160" s="5" t="s">
        <v>293</v>
      </c>
      <c r="E160" s="8">
        <v>354028</v>
      </c>
      <c r="F160" s="8">
        <v>343311</v>
      </c>
      <c r="G160" s="5" t="s">
        <v>382</v>
      </c>
    </row>
    <row r="161" spans="1:7" x14ac:dyDescent="0.25">
      <c r="A161" s="5" t="s">
        <v>56</v>
      </c>
      <c r="B161" s="5" t="s">
        <v>248</v>
      </c>
      <c r="C161" s="5" t="s">
        <v>529</v>
      </c>
      <c r="D161" s="5" t="s">
        <v>295</v>
      </c>
      <c r="E161" s="8">
        <v>1977054</v>
      </c>
      <c r="F161" s="8">
        <v>2080277</v>
      </c>
      <c r="G161" s="5" t="s">
        <v>530</v>
      </c>
    </row>
    <row r="162" spans="1:7" x14ac:dyDescent="0.25">
      <c r="A162" s="5" t="s">
        <v>56</v>
      </c>
      <c r="B162" s="5" t="s">
        <v>248</v>
      </c>
      <c r="C162" s="5" t="s">
        <v>531</v>
      </c>
      <c r="D162" s="5" t="s">
        <v>295</v>
      </c>
      <c r="E162" s="8">
        <v>824766</v>
      </c>
      <c r="F162" s="8">
        <v>811324</v>
      </c>
      <c r="G162" s="5" t="s">
        <v>530</v>
      </c>
    </row>
    <row r="163" spans="1:7" x14ac:dyDescent="0.25">
      <c r="A163" s="5" t="s">
        <v>56</v>
      </c>
      <c r="B163" s="5" t="s">
        <v>248</v>
      </c>
      <c r="C163" s="5" t="s">
        <v>532</v>
      </c>
      <c r="D163" s="5" t="s">
        <v>295</v>
      </c>
      <c r="E163" s="8">
        <v>31865</v>
      </c>
      <c r="F163" s="8">
        <v>35604</v>
      </c>
      <c r="G163" s="5" t="s">
        <v>530</v>
      </c>
    </row>
    <row r="164" spans="1:7" x14ac:dyDescent="0.25">
      <c r="A164" s="5" t="s">
        <v>57</v>
      </c>
      <c r="B164" s="5" t="s">
        <v>533</v>
      </c>
      <c r="C164" s="5" t="s">
        <v>534</v>
      </c>
      <c r="D164" s="5" t="s">
        <v>293</v>
      </c>
      <c r="E164" s="8">
        <v>6711321</v>
      </c>
      <c r="F164" s="8">
        <v>7752998</v>
      </c>
      <c r="G164" s="5" t="s">
        <v>535</v>
      </c>
    </row>
    <row r="165" spans="1:7" x14ac:dyDescent="0.25">
      <c r="A165" s="5" t="s">
        <v>58</v>
      </c>
      <c r="B165" s="5" t="s">
        <v>249</v>
      </c>
      <c r="C165" s="5" t="s">
        <v>330</v>
      </c>
      <c r="D165" s="5" t="s">
        <v>293</v>
      </c>
      <c r="E165" s="8">
        <v>2290978</v>
      </c>
      <c r="F165" s="8">
        <v>2288374</v>
      </c>
      <c r="G165" s="5" t="s">
        <v>411</v>
      </c>
    </row>
    <row r="166" spans="1:7" x14ac:dyDescent="0.25">
      <c r="A166" s="5" t="s">
        <v>58</v>
      </c>
      <c r="B166" s="5" t="s">
        <v>249</v>
      </c>
      <c r="C166" s="5" t="s">
        <v>331</v>
      </c>
      <c r="D166" s="5" t="s">
        <v>293</v>
      </c>
      <c r="E166" s="8">
        <v>884999</v>
      </c>
      <c r="F166" s="8">
        <v>862666</v>
      </c>
      <c r="G166" s="5" t="s">
        <v>411</v>
      </c>
    </row>
    <row r="167" spans="1:7" x14ac:dyDescent="0.25">
      <c r="A167" s="5" t="s">
        <v>58</v>
      </c>
      <c r="B167" s="5" t="s">
        <v>249</v>
      </c>
      <c r="C167" s="5" t="s">
        <v>332</v>
      </c>
      <c r="D167" s="5" t="s">
        <v>293</v>
      </c>
      <c r="E167" s="8">
        <v>87672</v>
      </c>
      <c r="F167" s="8">
        <v>102906</v>
      </c>
      <c r="G167" s="5" t="s">
        <v>411</v>
      </c>
    </row>
    <row r="168" spans="1:7" x14ac:dyDescent="0.25">
      <c r="A168" s="5" t="s">
        <v>58</v>
      </c>
      <c r="B168" s="5" t="s">
        <v>249</v>
      </c>
      <c r="C168" s="5" t="s">
        <v>333</v>
      </c>
      <c r="D168" s="5" t="s">
        <v>293</v>
      </c>
      <c r="E168" s="8">
        <v>681494</v>
      </c>
      <c r="F168" s="8">
        <v>621632</v>
      </c>
      <c r="G168" s="5" t="s">
        <v>411</v>
      </c>
    </row>
    <row r="169" spans="1:7" x14ac:dyDescent="0.25">
      <c r="A169" s="5" t="s">
        <v>58</v>
      </c>
      <c r="B169" s="5" t="s">
        <v>249</v>
      </c>
      <c r="C169" s="5" t="s">
        <v>334</v>
      </c>
      <c r="D169" s="5" t="s">
        <v>293</v>
      </c>
      <c r="E169" s="8">
        <v>42863</v>
      </c>
      <c r="F169" s="8">
        <v>34303</v>
      </c>
      <c r="G169" s="5" t="s">
        <v>411</v>
      </c>
    </row>
    <row r="170" spans="1:7" x14ac:dyDescent="0.25">
      <c r="A170" s="5" t="s">
        <v>59</v>
      </c>
      <c r="B170" s="5" t="s">
        <v>250</v>
      </c>
      <c r="C170" s="5" t="s">
        <v>536</v>
      </c>
      <c r="D170" s="5" t="s">
        <v>292</v>
      </c>
      <c r="E170" s="8">
        <v>0</v>
      </c>
      <c r="F170" s="8">
        <v>0</v>
      </c>
      <c r="G170" s="5" t="s">
        <v>538</v>
      </c>
    </row>
    <row r="171" spans="1:7" x14ac:dyDescent="0.25">
      <c r="A171" s="5" t="s">
        <v>59</v>
      </c>
      <c r="B171" s="5" t="s">
        <v>250</v>
      </c>
      <c r="C171" s="5" t="s">
        <v>537</v>
      </c>
      <c r="D171" s="5" t="s">
        <v>292</v>
      </c>
      <c r="E171" s="8">
        <v>810049</v>
      </c>
      <c r="F171" s="8">
        <v>836419</v>
      </c>
      <c r="G171" s="5" t="s">
        <v>538</v>
      </c>
    </row>
    <row r="172" spans="1:7" x14ac:dyDescent="0.25">
      <c r="A172" s="5" t="s">
        <v>59</v>
      </c>
      <c r="B172" s="5" t="s">
        <v>250</v>
      </c>
      <c r="C172" s="5" t="s">
        <v>539</v>
      </c>
      <c r="D172" s="5" t="s">
        <v>295</v>
      </c>
      <c r="E172" s="8">
        <v>94722</v>
      </c>
      <c r="F172" s="8">
        <v>106861</v>
      </c>
      <c r="G172" s="5" t="s">
        <v>540</v>
      </c>
    </row>
    <row r="173" spans="1:7" x14ac:dyDescent="0.25">
      <c r="A173" s="5" t="s">
        <v>59</v>
      </c>
      <c r="B173" s="5" t="s">
        <v>250</v>
      </c>
      <c r="C173" s="5" t="s">
        <v>541</v>
      </c>
      <c r="D173" s="5" t="s">
        <v>293</v>
      </c>
      <c r="E173" s="8">
        <v>164818</v>
      </c>
      <c r="F173" s="8">
        <v>160360</v>
      </c>
      <c r="G173" s="5" t="s">
        <v>542</v>
      </c>
    </row>
    <row r="174" spans="1:7" x14ac:dyDescent="0.25">
      <c r="A174" s="5" t="s">
        <v>59</v>
      </c>
      <c r="B174" s="5" t="s">
        <v>250</v>
      </c>
      <c r="C174" s="5" t="s">
        <v>543</v>
      </c>
      <c r="D174" s="5" t="s">
        <v>292</v>
      </c>
      <c r="E174" s="8">
        <v>50824</v>
      </c>
      <c r="F174" s="8">
        <v>53450</v>
      </c>
      <c r="G174" s="5" t="s">
        <v>538</v>
      </c>
    </row>
    <row r="175" spans="1:7" x14ac:dyDescent="0.25">
      <c r="A175" s="5" t="s">
        <v>59</v>
      </c>
      <c r="B175" s="5" t="s">
        <v>250</v>
      </c>
      <c r="C175" s="5" t="s">
        <v>544</v>
      </c>
      <c r="D175" s="5" t="s">
        <v>295</v>
      </c>
      <c r="E175" s="8">
        <v>33386</v>
      </c>
      <c r="F175" s="8">
        <v>33677</v>
      </c>
      <c r="G175" s="5" t="s">
        <v>540</v>
      </c>
    </row>
    <row r="176" spans="1:7" x14ac:dyDescent="0.25">
      <c r="A176" s="5" t="s">
        <v>60</v>
      </c>
      <c r="B176" s="5" t="s">
        <v>251</v>
      </c>
      <c r="C176" s="5" t="s">
        <v>545</v>
      </c>
      <c r="D176" s="5" t="s">
        <v>292</v>
      </c>
      <c r="E176" s="8">
        <v>1213740</v>
      </c>
      <c r="F176" s="8">
        <v>1206470</v>
      </c>
      <c r="G176" s="5" t="s">
        <v>546</v>
      </c>
    </row>
    <row r="177" spans="1:7" x14ac:dyDescent="0.25">
      <c r="A177" s="5" t="s">
        <v>60</v>
      </c>
      <c r="B177" s="5" t="s">
        <v>251</v>
      </c>
      <c r="C177" s="5" t="s">
        <v>547</v>
      </c>
      <c r="D177" s="5" t="s">
        <v>292</v>
      </c>
      <c r="E177" s="8">
        <v>279490</v>
      </c>
      <c r="F177" s="8">
        <v>290541</v>
      </c>
      <c r="G177" s="5" t="s">
        <v>546</v>
      </c>
    </row>
    <row r="178" spans="1:7" x14ac:dyDescent="0.25">
      <c r="A178" s="5" t="s">
        <v>60</v>
      </c>
      <c r="B178" s="5" t="s">
        <v>251</v>
      </c>
      <c r="C178" s="5" t="s">
        <v>548</v>
      </c>
      <c r="D178" s="5" t="s">
        <v>292</v>
      </c>
      <c r="E178" s="8">
        <v>468722</v>
      </c>
      <c r="F178" s="8">
        <v>462257</v>
      </c>
      <c r="G178" s="5" t="s">
        <v>546</v>
      </c>
    </row>
    <row r="179" spans="1:7" x14ac:dyDescent="0.25">
      <c r="A179" s="5" t="s">
        <v>60</v>
      </c>
      <c r="B179" s="5" t="s">
        <v>251</v>
      </c>
      <c r="C179" s="5" t="s">
        <v>549</v>
      </c>
      <c r="D179" s="5" t="s">
        <v>292</v>
      </c>
      <c r="E179" s="8">
        <v>305746</v>
      </c>
      <c r="F179" s="8">
        <v>323648</v>
      </c>
      <c r="G179" s="5" t="s">
        <v>546</v>
      </c>
    </row>
    <row r="180" spans="1:7" x14ac:dyDescent="0.25">
      <c r="A180" s="5" t="s">
        <v>60</v>
      </c>
      <c r="B180" s="5" t="s">
        <v>251</v>
      </c>
      <c r="C180" s="5" t="s">
        <v>550</v>
      </c>
      <c r="D180" s="5" t="s">
        <v>292</v>
      </c>
      <c r="E180" s="8">
        <v>60999</v>
      </c>
      <c r="F180" s="8">
        <v>60655</v>
      </c>
      <c r="G180" s="5" t="s">
        <v>546</v>
      </c>
    </row>
    <row r="181" spans="1:7" x14ac:dyDescent="0.25">
      <c r="A181" s="5" t="s">
        <v>60</v>
      </c>
      <c r="B181" s="5" t="s">
        <v>251</v>
      </c>
      <c r="C181" s="5" t="s">
        <v>551</v>
      </c>
      <c r="D181" s="5" t="s">
        <v>293</v>
      </c>
      <c r="E181" s="8">
        <v>15709</v>
      </c>
      <c r="F181" s="8">
        <v>16341</v>
      </c>
      <c r="G181" s="5" t="s">
        <v>552</v>
      </c>
    </row>
    <row r="182" spans="1:7" x14ac:dyDescent="0.25">
      <c r="A182" s="5" t="s">
        <v>60</v>
      </c>
      <c r="B182" s="5" t="s">
        <v>251</v>
      </c>
      <c r="C182" s="5" t="s">
        <v>553</v>
      </c>
      <c r="D182" s="5" t="s">
        <v>292</v>
      </c>
      <c r="E182" s="8">
        <v>177525</v>
      </c>
      <c r="F182" s="8">
        <v>193258</v>
      </c>
      <c r="G182" s="5" t="s">
        <v>546</v>
      </c>
    </row>
    <row r="183" spans="1:7" x14ac:dyDescent="0.25">
      <c r="A183" s="5" t="s">
        <v>61</v>
      </c>
      <c r="B183" s="5" t="s">
        <v>216</v>
      </c>
      <c r="C183" s="5" t="s">
        <v>335</v>
      </c>
      <c r="D183" s="5" t="s">
        <v>292</v>
      </c>
      <c r="E183" s="8">
        <v>515129</v>
      </c>
      <c r="F183" s="8">
        <v>527623</v>
      </c>
      <c r="G183" s="5" t="s">
        <v>383</v>
      </c>
    </row>
    <row r="184" spans="1:7" x14ac:dyDescent="0.25">
      <c r="A184" s="5" t="s">
        <v>61</v>
      </c>
      <c r="B184" s="5" t="s">
        <v>216</v>
      </c>
      <c r="C184" s="5" t="s">
        <v>412</v>
      </c>
      <c r="D184" s="5" t="s">
        <v>292</v>
      </c>
      <c r="E184" s="8">
        <v>452444</v>
      </c>
      <c r="F184" s="8">
        <v>442882</v>
      </c>
      <c r="G184" s="5" t="s">
        <v>383</v>
      </c>
    </row>
    <row r="185" spans="1:7" x14ac:dyDescent="0.25">
      <c r="A185" s="5" t="s">
        <v>61</v>
      </c>
      <c r="B185" s="5" t="s">
        <v>216</v>
      </c>
      <c r="C185" s="5" t="s">
        <v>413</v>
      </c>
      <c r="D185" s="5" t="s">
        <v>292</v>
      </c>
      <c r="E185" s="8">
        <v>54137</v>
      </c>
      <c r="F185" s="8">
        <v>51996</v>
      </c>
      <c r="G185" s="5" t="s">
        <v>383</v>
      </c>
    </row>
    <row r="186" spans="1:7" x14ac:dyDescent="0.25">
      <c r="A186" s="5" t="s">
        <v>61</v>
      </c>
      <c r="B186" s="5" t="s">
        <v>216</v>
      </c>
      <c r="C186" s="5" t="s">
        <v>336</v>
      </c>
      <c r="D186" s="5" t="s">
        <v>292</v>
      </c>
      <c r="E186" s="8">
        <v>14714</v>
      </c>
      <c r="F186" s="8">
        <v>15303</v>
      </c>
      <c r="G186" s="5" t="s">
        <v>383</v>
      </c>
    </row>
    <row r="187" spans="1:7" x14ac:dyDescent="0.25">
      <c r="A187" s="5" t="s">
        <v>62</v>
      </c>
      <c r="B187" s="5" t="s">
        <v>217</v>
      </c>
      <c r="C187" s="5" t="s">
        <v>337</v>
      </c>
      <c r="D187" s="5" t="s">
        <v>292</v>
      </c>
      <c r="E187" s="8">
        <v>855254</v>
      </c>
      <c r="F187" s="8">
        <v>898281</v>
      </c>
      <c r="G187" s="5" t="s">
        <v>384</v>
      </c>
    </row>
    <row r="188" spans="1:7" x14ac:dyDescent="0.25">
      <c r="A188" s="5" t="s">
        <v>62</v>
      </c>
      <c r="B188" s="5" t="s">
        <v>217</v>
      </c>
      <c r="C188" s="5" t="s">
        <v>414</v>
      </c>
      <c r="D188" s="5" t="s">
        <v>292</v>
      </c>
      <c r="E188" s="8">
        <v>225403</v>
      </c>
      <c r="F188" s="8">
        <v>328561</v>
      </c>
      <c r="G188" s="5" t="s">
        <v>384</v>
      </c>
    </row>
    <row r="189" spans="1:7" x14ac:dyDescent="0.25">
      <c r="A189" s="5" t="s">
        <v>62</v>
      </c>
      <c r="B189" s="5" t="s">
        <v>217</v>
      </c>
      <c r="C189" s="5" t="s">
        <v>338</v>
      </c>
      <c r="D189" s="5" t="s">
        <v>292</v>
      </c>
      <c r="E189" s="8">
        <v>704519</v>
      </c>
      <c r="F189" s="8">
        <v>588314</v>
      </c>
      <c r="G189" s="5" t="s">
        <v>384</v>
      </c>
    </row>
    <row r="190" spans="1:7" x14ac:dyDescent="0.25">
      <c r="A190" s="5" t="s">
        <v>62</v>
      </c>
      <c r="B190" s="5" t="s">
        <v>217</v>
      </c>
      <c r="C190" s="5" t="s">
        <v>342</v>
      </c>
      <c r="D190" s="5" t="s">
        <v>292</v>
      </c>
      <c r="E190" s="8">
        <v>53848</v>
      </c>
      <c r="F190" s="8">
        <v>58753</v>
      </c>
      <c r="G190" s="5" t="s">
        <v>384</v>
      </c>
    </row>
    <row r="191" spans="1:7" x14ac:dyDescent="0.25">
      <c r="A191" s="5" t="s">
        <v>62</v>
      </c>
      <c r="B191" s="5" t="s">
        <v>217</v>
      </c>
      <c r="C191" s="5" t="s">
        <v>415</v>
      </c>
      <c r="D191" s="5" t="s">
        <v>293</v>
      </c>
      <c r="E191" s="8">
        <v>103</v>
      </c>
      <c r="F191" s="8">
        <v>0</v>
      </c>
      <c r="G191" s="5" t="s">
        <v>385</v>
      </c>
    </row>
    <row r="192" spans="1:7" x14ac:dyDescent="0.25">
      <c r="A192" s="5" t="s">
        <v>63</v>
      </c>
      <c r="B192" s="5" t="s">
        <v>288</v>
      </c>
      <c r="C192" s="5" t="s">
        <v>416</v>
      </c>
      <c r="D192" s="5" t="s">
        <v>292</v>
      </c>
      <c r="E192" s="8">
        <v>726151</v>
      </c>
      <c r="F192" s="8">
        <v>850582</v>
      </c>
      <c r="G192" s="5" t="s">
        <v>386</v>
      </c>
    </row>
    <row r="193" spans="1:7" x14ac:dyDescent="0.25">
      <c r="A193" s="5" t="s">
        <v>63</v>
      </c>
      <c r="B193" s="5" t="s">
        <v>288</v>
      </c>
      <c r="C193" s="5" t="s">
        <v>417</v>
      </c>
      <c r="D193" s="5" t="s">
        <v>292</v>
      </c>
      <c r="E193" s="8">
        <v>491389</v>
      </c>
      <c r="F193" s="8">
        <v>486822</v>
      </c>
      <c r="G193" s="5" t="s">
        <v>386</v>
      </c>
    </row>
    <row r="194" spans="1:7" x14ac:dyDescent="0.25">
      <c r="A194" s="5" t="s">
        <v>63</v>
      </c>
      <c r="B194" s="5" t="s">
        <v>288</v>
      </c>
      <c r="C194" s="5" t="s">
        <v>418</v>
      </c>
      <c r="D194" s="5" t="s">
        <v>292</v>
      </c>
      <c r="E194" s="8">
        <v>342931</v>
      </c>
      <c r="F194" s="8">
        <v>350449</v>
      </c>
      <c r="G194" s="5" t="s">
        <v>386</v>
      </c>
    </row>
    <row r="195" spans="1:7" x14ac:dyDescent="0.25">
      <c r="A195" s="5" t="s">
        <v>63</v>
      </c>
      <c r="B195" s="5" t="s">
        <v>288</v>
      </c>
      <c r="C195" s="5" t="s">
        <v>419</v>
      </c>
      <c r="D195" s="5" t="s">
        <v>292</v>
      </c>
      <c r="E195" s="8">
        <v>299102</v>
      </c>
      <c r="F195" s="8">
        <v>322100</v>
      </c>
      <c r="G195" s="5" t="s">
        <v>386</v>
      </c>
    </row>
    <row r="196" spans="1:7" x14ac:dyDescent="0.25">
      <c r="A196" s="5" t="s">
        <v>63</v>
      </c>
      <c r="B196" s="5" t="s">
        <v>288</v>
      </c>
      <c r="C196" s="5" t="s">
        <v>420</v>
      </c>
      <c r="D196" s="5" t="s">
        <v>292</v>
      </c>
      <c r="E196" s="8">
        <v>427270</v>
      </c>
      <c r="F196" s="8">
        <v>441907</v>
      </c>
      <c r="G196" s="5" t="s">
        <v>386</v>
      </c>
    </row>
    <row r="197" spans="1:7" x14ac:dyDescent="0.25">
      <c r="A197" s="5" t="s">
        <v>64</v>
      </c>
      <c r="B197" s="5" t="s">
        <v>289</v>
      </c>
      <c r="C197" s="5" t="s">
        <v>630</v>
      </c>
      <c r="D197" s="5" t="s">
        <v>296</v>
      </c>
      <c r="E197" s="8">
        <v>1725711</v>
      </c>
      <c r="F197" s="8">
        <v>1735916</v>
      </c>
      <c r="G197" s="5" t="s">
        <v>631</v>
      </c>
    </row>
    <row r="198" spans="1:7" x14ac:dyDescent="0.25">
      <c r="A198" s="5" t="s">
        <v>64</v>
      </c>
      <c r="B198" s="5" t="s">
        <v>289</v>
      </c>
      <c r="C198" s="5" t="s">
        <v>632</v>
      </c>
      <c r="D198" s="5" t="s">
        <v>293</v>
      </c>
      <c r="E198" s="8">
        <v>219370</v>
      </c>
      <c r="F198" s="8">
        <v>218299</v>
      </c>
      <c r="G198" s="5" t="s">
        <v>633</v>
      </c>
    </row>
    <row r="199" spans="1:7" x14ac:dyDescent="0.25">
      <c r="A199" s="5" t="s">
        <v>64</v>
      </c>
      <c r="B199" s="5" t="s">
        <v>289</v>
      </c>
      <c r="C199" s="5" t="s">
        <v>634</v>
      </c>
      <c r="D199" s="5" t="s">
        <v>292</v>
      </c>
      <c r="E199" s="8">
        <v>506255</v>
      </c>
      <c r="F199" s="8">
        <v>493057</v>
      </c>
      <c r="G199" s="5" t="s">
        <v>635</v>
      </c>
    </row>
    <row r="200" spans="1:7" x14ac:dyDescent="0.25">
      <c r="A200" s="5" t="s">
        <v>64</v>
      </c>
      <c r="B200" s="5" t="s">
        <v>289</v>
      </c>
      <c r="C200" s="5" t="s">
        <v>636</v>
      </c>
      <c r="D200" s="5" t="s">
        <v>292</v>
      </c>
      <c r="E200" s="8">
        <v>3027</v>
      </c>
      <c r="F200" s="8">
        <v>3836</v>
      </c>
      <c r="G200" s="5" t="s">
        <v>635</v>
      </c>
    </row>
    <row r="201" spans="1:7" x14ac:dyDescent="0.25">
      <c r="A201" s="5" t="s">
        <v>64</v>
      </c>
      <c r="B201" s="5" t="s">
        <v>289</v>
      </c>
      <c r="C201" s="5" t="s">
        <v>637</v>
      </c>
      <c r="D201" s="5" t="s">
        <v>296</v>
      </c>
      <c r="E201" s="8">
        <v>58814</v>
      </c>
      <c r="F201" s="8">
        <v>66115</v>
      </c>
      <c r="G201" s="5" t="s">
        <v>631</v>
      </c>
    </row>
    <row r="202" spans="1:7" x14ac:dyDescent="0.25">
      <c r="A202" s="5" t="s">
        <v>64</v>
      </c>
      <c r="B202" s="5" t="s">
        <v>289</v>
      </c>
      <c r="C202" s="5" t="s">
        <v>638</v>
      </c>
      <c r="D202" s="5" t="s">
        <v>296</v>
      </c>
      <c r="E202" s="8">
        <v>84990</v>
      </c>
      <c r="F202" s="8">
        <v>86055</v>
      </c>
      <c r="G202" s="5" t="s">
        <v>631</v>
      </c>
    </row>
    <row r="203" spans="1:7" x14ac:dyDescent="0.25">
      <c r="A203" s="5" t="s">
        <v>64</v>
      </c>
      <c r="B203" s="5" t="s">
        <v>289</v>
      </c>
      <c r="C203" s="5" t="s">
        <v>639</v>
      </c>
      <c r="D203" s="5" t="s">
        <v>296</v>
      </c>
      <c r="E203" s="8">
        <v>547869</v>
      </c>
      <c r="F203" s="8">
        <v>530306</v>
      </c>
      <c r="G203" s="5" t="s">
        <v>631</v>
      </c>
    </row>
    <row r="204" spans="1:7" x14ac:dyDescent="0.25">
      <c r="A204" s="5" t="s">
        <v>64</v>
      </c>
      <c r="B204" s="5" t="s">
        <v>289</v>
      </c>
      <c r="C204" s="5" t="s">
        <v>640</v>
      </c>
      <c r="D204" s="5" t="s">
        <v>292</v>
      </c>
      <c r="E204" s="8">
        <v>98735</v>
      </c>
      <c r="F204" s="8">
        <v>102214</v>
      </c>
      <c r="G204" s="5" t="s">
        <v>635</v>
      </c>
    </row>
    <row r="205" spans="1:7" x14ac:dyDescent="0.25">
      <c r="A205" s="5" t="s">
        <v>65</v>
      </c>
      <c r="B205" s="5" t="s">
        <v>641</v>
      </c>
      <c r="C205" s="5" t="s">
        <v>642</v>
      </c>
      <c r="D205" s="5" t="s">
        <v>292</v>
      </c>
      <c r="E205" s="8">
        <v>983</v>
      </c>
      <c r="F205" s="8">
        <v>946</v>
      </c>
      <c r="G205" s="5" t="s">
        <v>643</v>
      </c>
    </row>
    <row r="206" spans="1:7" x14ac:dyDescent="0.25">
      <c r="A206" s="5" t="s">
        <v>65</v>
      </c>
      <c r="B206" s="5" t="s">
        <v>641</v>
      </c>
      <c r="C206" s="5" t="s">
        <v>644</v>
      </c>
      <c r="D206" s="5" t="s">
        <v>292</v>
      </c>
      <c r="E206" s="8">
        <v>369909</v>
      </c>
      <c r="F206" s="8">
        <v>404043</v>
      </c>
      <c r="G206" s="5" t="s">
        <v>643</v>
      </c>
    </row>
    <row r="207" spans="1:7" x14ac:dyDescent="0.25">
      <c r="A207" s="5" t="s">
        <v>65</v>
      </c>
      <c r="B207" s="5" t="s">
        <v>641</v>
      </c>
      <c r="C207" s="5" t="s">
        <v>645</v>
      </c>
      <c r="D207" s="5" t="s">
        <v>292</v>
      </c>
      <c r="E207" s="8">
        <v>626352</v>
      </c>
      <c r="F207" s="8">
        <v>661040</v>
      </c>
      <c r="G207" s="5" t="s">
        <v>643</v>
      </c>
    </row>
    <row r="208" spans="1:7" x14ac:dyDescent="0.25">
      <c r="A208" s="5" t="s">
        <v>65</v>
      </c>
      <c r="B208" s="5" t="s">
        <v>641</v>
      </c>
      <c r="C208" s="5" t="s">
        <v>646</v>
      </c>
      <c r="D208" s="5" t="s">
        <v>292</v>
      </c>
      <c r="E208" s="8">
        <v>445155</v>
      </c>
      <c r="F208" s="8">
        <v>439771</v>
      </c>
      <c r="G208" s="5" t="s">
        <v>643</v>
      </c>
    </row>
    <row r="209" spans="1:7" x14ac:dyDescent="0.25">
      <c r="A209" s="5" t="s">
        <v>65</v>
      </c>
      <c r="B209" s="5" t="s">
        <v>641</v>
      </c>
      <c r="C209" s="5" t="s">
        <v>647</v>
      </c>
      <c r="D209" s="5" t="s">
        <v>292</v>
      </c>
      <c r="E209" s="8">
        <v>2027225</v>
      </c>
      <c r="F209" s="8">
        <v>2071969</v>
      </c>
      <c r="G209" s="5" t="s">
        <v>643</v>
      </c>
    </row>
    <row r="210" spans="1:7" x14ac:dyDescent="0.25">
      <c r="A210" s="5" t="s">
        <v>65</v>
      </c>
      <c r="B210" s="5" t="s">
        <v>641</v>
      </c>
      <c r="C210" s="5" t="s">
        <v>648</v>
      </c>
      <c r="D210" s="5" t="s">
        <v>292</v>
      </c>
      <c r="E210" s="8">
        <v>2579904</v>
      </c>
      <c r="F210" s="8">
        <v>2857845</v>
      </c>
      <c r="G210" s="5" t="s">
        <v>643</v>
      </c>
    </row>
    <row r="211" spans="1:7" x14ac:dyDescent="0.25">
      <c r="A211" s="5" t="s">
        <v>65</v>
      </c>
      <c r="B211" s="5" t="s">
        <v>641</v>
      </c>
      <c r="C211" s="5" t="s">
        <v>649</v>
      </c>
      <c r="D211" s="5" t="s">
        <v>292</v>
      </c>
      <c r="E211" s="8">
        <v>2451190</v>
      </c>
      <c r="F211" s="8">
        <v>2353661</v>
      </c>
      <c r="G211" s="5" t="s">
        <v>643</v>
      </c>
    </row>
    <row r="212" spans="1:7" x14ac:dyDescent="0.25">
      <c r="A212" s="5" t="s">
        <v>65</v>
      </c>
      <c r="B212" s="5" t="s">
        <v>641</v>
      </c>
      <c r="C212" s="5" t="s">
        <v>650</v>
      </c>
      <c r="D212" s="5" t="s">
        <v>292</v>
      </c>
      <c r="E212" s="8">
        <v>733254</v>
      </c>
      <c r="F212" s="8">
        <v>717929</v>
      </c>
      <c r="G212" s="5" t="s">
        <v>643</v>
      </c>
    </row>
    <row r="213" spans="1:7" x14ac:dyDescent="0.25">
      <c r="A213" s="5" t="s">
        <v>65</v>
      </c>
      <c r="B213" s="5" t="s">
        <v>641</v>
      </c>
      <c r="C213" s="5" t="s">
        <v>651</v>
      </c>
      <c r="D213" s="5" t="s">
        <v>292</v>
      </c>
      <c r="E213" s="8">
        <v>485573</v>
      </c>
      <c r="F213" s="8">
        <v>548389</v>
      </c>
      <c r="G213" s="5" t="s">
        <v>643</v>
      </c>
    </row>
    <row r="214" spans="1:7" x14ac:dyDescent="0.25">
      <c r="A214" s="5" t="s">
        <v>65</v>
      </c>
      <c r="B214" s="5" t="s">
        <v>641</v>
      </c>
      <c r="C214" s="5" t="s">
        <v>652</v>
      </c>
      <c r="D214" s="5" t="s">
        <v>292</v>
      </c>
      <c r="E214" s="8">
        <v>412655</v>
      </c>
      <c r="F214" s="8">
        <v>416428</v>
      </c>
      <c r="G214" s="5" t="s">
        <v>643</v>
      </c>
    </row>
    <row r="215" spans="1:7" x14ac:dyDescent="0.25">
      <c r="A215" s="5" t="s">
        <v>65</v>
      </c>
      <c r="B215" s="5" t="s">
        <v>641</v>
      </c>
      <c r="C215" s="5" t="s">
        <v>653</v>
      </c>
      <c r="D215" s="5" t="s">
        <v>292</v>
      </c>
      <c r="E215" s="8">
        <v>1230615</v>
      </c>
      <c r="F215" s="8">
        <v>1218281</v>
      </c>
      <c r="G215" s="5" t="s">
        <v>643</v>
      </c>
    </row>
    <row r="216" spans="1:7" x14ac:dyDescent="0.25">
      <c r="A216" s="5" t="s">
        <v>65</v>
      </c>
      <c r="B216" s="5" t="s">
        <v>641</v>
      </c>
      <c r="C216" s="5" t="s">
        <v>654</v>
      </c>
      <c r="D216" s="5" t="s">
        <v>292</v>
      </c>
      <c r="E216" s="8">
        <v>133193</v>
      </c>
      <c r="F216" s="8">
        <v>78944</v>
      </c>
      <c r="G216" s="5" t="s">
        <v>643</v>
      </c>
    </row>
    <row r="217" spans="1:7" x14ac:dyDescent="0.25">
      <c r="A217" s="5" t="s">
        <v>65</v>
      </c>
      <c r="B217" s="5" t="s">
        <v>641</v>
      </c>
      <c r="C217" s="5" t="s">
        <v>696</v>
      </c>
      <c r="D217" s="5" t="s">
        <v>293</v>
      </c>
      <c r="E217" s="8">
        <v>127115</v>
      </c>
      <c r="F217" s="8">
        <v>123282</v>
      </c>
      <c r="G217" s="5" t="s">
        <v>697</v>
      </c>
    </row>
    <row r="218" spans="1:7" x14ac:dyDescent="0.25">
      <c r="A218" s="5" t="s">
        <v>65</v>
      </c>
      <c r="B218" s="5" t="s">
        <v>641</v>
      </c>
      <c r="C218" s="5" t="s">
        <v>698</v>
      </c>
      <c r="D218" s="5" t="s">
        <v>293</v>
      </c>
      <c r="E218" s="8">
        <v>130620</v>
      </c>
      <c r="F218" s="8">
        <v>155217</v>
      </c>
      <c r="G218" s="5" t="s">
        <v>697</v>
      </c>
    </row>
    <row r="219" spans="1:7" x14ac:dyDescent="0.25">
      <c r="A219" s="5" t="s">
        <v>66</v>
      </c>
      <c r="B219" s="5" t="s">
        <v>252</v>
      </c>
      <c r="C219" s="5" t="s">
        <v>554</v>
      </c>
      <c r="D219" s="5" t="s">
        <v>292</v>
      </c>
      <c r="E219" s="8">
        <v>88586</v>
      </c>
      <c r="F219" s="8">
        <v>97790</v>
      </c>
      <c r="G219" s="5" t="s">
        <v>555</v>
      </c>
    </row>
    <row r="220" spans="1:7" x14ac:dyDescent="0.25">
      <c r="A220" s="5" t="s">
        <v>66</v>
      </c>
      <c r="B220" s="5" t="s">
        <v>252</v>
      </c>
      <c r="C220" s="5" t="s">
        <v>556</v>
      </c>
      <c r="D220" s="5" t="s">
        <v>292</v>
      </c>
      <c r="E220" s="8">
        <v>367504</v>
      </c>
      <c r="F220" s="8">
        <v>400890</v>
      </c>
      <c r="G220" s="5" t="s">
        <v>555</v>
      </c>
    </row>
    <row r="221" spans="1:7" x14ac:dyDescent="0.25">
      <c r="A221" s="5" t="s">
        <v>66</v>
      </c>
      <c r="B221" s="5" t="s">
        <v>252</v>
      </c>
      <c r="C221" s="5" t="s">
        <v>557</v>
      </c>
      <c r="D221" s="5" t="s">
        <v>292</v>
      </c>
      <c r="E221" s="8">
        <v>939087</v>
      </c>
      <c r="F221" s="8">
        <v>981995</v>
      </c>
      <c r="G221" s="5" t="s">
        <v>555</v>
      </c>
    </row>
    <row r="222" spans="1:7" x14ac:dyDescent="0.25">
      <c r="A222" s="5" t="s">
        <v>67</v>
      </c>
      <c r="B222" s="5" t="s">
        <v>218</v>
      </c>
      <c r="C222" s="5" t="s">
        <v>421</v>
      </c>
      <c r="D222" s="5" t="s">
        <v>293</v>
      </c>
      <c r="E222" s="8">
        <v>655852</v>
      </c>
      <c r="F222" s="8">
        <v>602951</v>
      </c>
      <c r="G222" s="5" t="s">
        <v>387</v>
      </c>
    </row>
    <row r="223" spans="1:7" x14ac:dyDescent="0.25">
      <c r="A223" s="5" t="s">
        <v>68</v>
      </c>
      <c r="B223" s="5" t="s">
        <v>558</v>
      </c>
      <c r="C223" s="5" t="s">
        <v>559</v>
      </c>
      <c r="D223" s="5" t="s">
        <v>292</v>
      </c>
      <c r="E223" s="8">
        <v>553337</v>
      </c>
      <c r="F223" s="8">
        <v>515682</v>
      </c>
      <c r="G223" s="5" t="s">
        <v>560</v>
      </c>
    </row>
    <row r="224" spans="1:7" x14ac:dyDescent="0.25">
      <c r="A224" s="5" t="s">
        <v>68</v>
      </c>
      <c r="B224" s="5" t="s">
        <v>558</v>
      </c>
      <c r="C224" s="5" t="s">
        <v>561</v>
      </c>
      <c r="D224" s="5" t="s">
        <v>292</v>
      </c>
      <c r="E224" s="8">
        <v>619591</v>
      </c>
      <c r="F224" s="8">
        <v>609582</v>
      </c>
      <c r="G224" s="5" t="s">
        <v>560</v>
      </c>
    </row>
    <row r="225" spans="1:7" x14ac:dyDescent="0.25">
      <c r="A225" s="5" t="s">
        <v>68</v>
      </c>
      <c r="B225" s="5" t="s">
        <v>558</v>
      </c>
      <c r="C225" s="5" t="s">
        <v>562</v>
      </c>
      <c r="D225" s="5" t="s">
        <v>292</v>
      </c>
      <c r="E225" s="8">
        <v>265564</v>
      </c>
      <c r="F225" s="8">
        <v>270941</v>
      </c>
      <c r="G225" s="5" t="s">
        <v>560</v>
      </c>
    </row>
    <row r="226" spans="1:7" x14ac:dyDescent="0.25">
      <c r="A226" s="5" t="s">
        <v>68</v>
      </c>
      <c r="B226" s="5" t="s">
        <v>558</v>
      </c>
      <c r="C226" s="5" t="s">
        <v>563</v>
      </c>
      <c r="D226" s="5" t="s">
        <v>293</v>
      </c>
      <c r="E226" s="8">
        <v>207355</v>
      </c>
      <c r="F226" s="8">
        <v>220835</v>
      </c>
      <c r="G226" s="5" t="s">
        <v>564</v>
      </c>
    </row>
    <row r="227" spans="1:7" x14ac:dyDescent="0.25">
      <c r="A227" s="5" t="s">
        <v>69</v>
      </c>
      <c r="B227" s="5" t="s">
        <v>655</v>
      </c>
      <c r="C227" s="5" t="s">
        <v>656</v>
      </c>
      <c r="D227" s="5" t="s">
        <v>293</v>
      </c>
      <c r="E227" s="8">
        <v>631313</v>
      </c>
      <c r="F227" s="8">
        <v>520206</v>
      </c>
      <c r="G227" s="5" t="s">
        <v>657</v>
      </c>
    </row>
    <row r="228" spans="1:7" x14ac:dyDescent="0.25">
      <c r="A228" s="5" t="s">
        <v>69</v>
      </c>
      <c r="B228" s="5" t="s">
        <v>655</v>
      </c>
      <c r="C228" s="5" t="s">
        <v>658</v>
      </c>
      <c r="D228" s="5" t="s">
        <v>292</v>
      </c>
      <c r="E228" s="8">
        <v>357583</v>
      </c>
      <c r="F228" s="8">
        <v>395390</v>
      </c>
      <c r="G228" s="5" t="s">
        <v>659</v>
      </c>
    </row>
    <row r="229" spans="1:7" x14ac:dyDescent="0.25">
      <c r="A229" s="5" t="s">
        <v>69</v>
      </c>
      <c r="B229" s="5" t="s">
        <v>655</v>
      </c>
      <c r="C229" s="5" t="s">
        <v>660</v>
      </c>
      <c r="D229" s="5" t="s">
        <v>292</v>
      </c>
      <c r="E229" s="8">
        <v>266631</v>
      </c>
      <c r="F229" s="8">
        <v>347182</v>
      </c>
      <c r="G229" s="5" t="s">
        <v>659</v>
      </c>
    </row>
    <row r="230" spans="1:7" x14ac:dyDescent="0.25">
      <c r="A230" s="5" t="s">
        <v>69</v>
      </c>
      <c r="B230" s="5" t="s">
        <v>655</v>
      </c>
      <c r="C230" s="5" t="s">
        <v>661</v>
      </c>
      <c r="D230" s="5" t="s">
        <v>296</v>
      </c>
      <c r="E230" s="8">
        <v>20554</v>
      </c>
      <c r="F230" s="8">
        <v>21019</v>
      </c>
      <c r="G230" s="5" t="s">
        <v>662</v>
      </c>
    </row>
    <row r="231" spans="1:7" x14ac:dyDescent="0.25">
      <c r="A231" s="5" t="s">
        <v>69</v>
      </c>
      <c r="B231" s="5" t="s">
        <v>655</v>
      </c>
      <c r="C231" s="5" t="s">
        <v>663</v>
      </c>
      <c r="D231" s="5" t="s">
        <v>296</v>
      </c>
      <c r="E231" s="8">
        <v>374366</v>
      </c>
      <c r="F231" s="8">
        <v>368573</v>
      </c>
      <c r="G231" s="5" t="s">
        <v>662</v>
      </c>
    </row>
    <row r="232" spans="1:7" x14ac:dyDescent="0.25">
      <c r="A232" s="5" t="s">
        <v>70</v>
      </c>
      <c r="B232" s="5" t="s">
        <v>219</v>
      </c>
      <c r="C232" s="5" t="s">
        <v>339</v>
      </c>
      <c r="D232" s="5" t="s">
        <v>293</v>
      </c>
      <c r="E232" s="8">
        <v>2411989</v>
      </c>
      <c r="F232" s="8">
        <v>2421232</v>
      </c>
      <c r="G232" s="5" t="s">
        <v>388</v>
      </c>
    </row>
    <row r="233" spans="1:7" x14ac:dyDescent="0.25">
      <c r="A233" s="5" t="s">
        <v>70</v>
      </c>
      <c r="B233" s="5" t="s">
        <v>219</v>
      </c>
      <c r="C233" s="5" t="s">
        <v>340</v>
      </c>
      <c r="D233" s="5" t="s">
        <v>293</v>
      </c>
      <c r="E233" s="8">
        <v>4576636</v>
      </c>
      <c r="F233" s="8">
        <v>4621068</v>
      </c>
      <c r="G233" s="5" t="s">
        <v>388</v>
      </c>
    </row>
    <row r="234" spans="1:7" x14ac:dyDescent="0.25">
      <c r="A234" s="5" t="s">
        <v>70</v>
      </c>
      <c r="B234" s="5" t="s">
        <v>219</v>
      </c>
      <c r="C234" s="5" t="s">
        <v>341</v>
      </c>
      <c r="D234" s="5" t="s">
        <v>293</v>
      </c>
      <c r="E234" s="8">
        <v>1508042</v>
      </c>
      <c r="F234" s="8">
        <v>1563164</v>
      </c>
      <c r="G234" s="5" t="s">
        <v>388</v>
      </c>
    </row>
    <row r="235" spans="1:7" x14ac:dyDescent="0.25">
      <c r="A235" s="5" t="s">
        <v>70</v>
      </c>
      <c r="B235" s="5" t="s">
        <v>219</v>
      </c>
      <c r="C235" s="5" t="s">
        <v>343</v>
      </c>
      <c r="D235" s="5" t="s">
        <v>293</v>
      </c>
      <c r="E235" s="8">
        <v>889276</v>
      </c>
      <c r="F235" s="8">
        <v>983664</v>
      </c>
      <c r="G235" s="5" t="s">
        <v>388</v>
      </c>
    </row>
    <row r="236" spans="1:7" x14ac:dyDescent="0.25">
      <c r="A236" s="5" t="s">
        <v>70</v>
      </c>
      <c r="B236" s="5" t="s">
        <v>219</v>
      </c>
      <c r="C236" s="5" t="s">
        <v>342</v>
      </c>
      <c r="D236" s="5" t="s">
        <v>292</v>
      </c>
      <c r="E236" s="8">
        <v>451671</v>
      </c>
      <c r="F236" s="8">
        <v>406778</v>
      </c>
      <c r="G236" s="5" t="s">
        <v>389</v>
      </c>
    </row>
    <row r="237" spans="1:7" x14ac:dyDescent="0.25">
      <c r="A237" s="5" t="s">
        <v>73</v>
      </c>
      <c r="B237" s="5" t="s">
        <v>220</v>
      </c>
      <c r="C237" s="5" t="s">
        <v>488</v>
      </c>
      <c r="D237" s="5" t="s">
        <v>292</v>
      </c>
      <c r="E237" s="8">
        <v>638449</v>
      </c>
      <c r="F237" s="8">
        <v>645075</v>
      </c>
      <c r="G237" s="5" t="s">
        <v>664</v>
      </c>
    </row>
    <row r="238" spans="1:7" x14ac:dyDescent="0.25">
      <c r="A238" s="5" t="s">
        <v>73</v>
      </c>
      <c r="B238" s="5" t="s">
        <v>220</v>
      </c>
      <c r="C238" s="5" t="s">
        <v>491</v>
      </c>
      <c r="D238" s="5" t="s">
        <v>293</v>
      </c>
      <c r="E238" s="8">
        <v>395397</v>
      </c>
      <c r="F238" s="8">
        <v>406363</v>
      </c>
      <c r="G238" s="5" t="s">
        <v>665</v>
      </c>
    </row>
    <row r="239" spans="1:7" x14ac:dyDescent="0.25">
      <c r="A239" s="5" t="s">
        <v>74</v>
      </c>
      <c r="B239" s="5" t="s">
        <v>253</v>
      </c>
      <c r="C239" s="5" t="s">
        <v>565</v>
      </c>
      <c r="D239" s="5" t="s">
        <v>296</v>
      </c>
      <c r="E239" s="8">
        <v>1009706</v>
      </c>
      <c r="F239" s="8">
        <v>1231625</v>
      </c>
      <c r="G239" s="5" t="s">
        <v>566</v>
      </c>
    </row>
    <row r="240" spans="1:7" x14ac:dyDescent="0.25">
      <c r="A240" s="5" t="s">
        <v>74</v>
      </c>
      <c r="B240" s="5" t="s">
        <v>253</v>
      </c>
      <c r="C240" s="5" t="s">
        <v>567</v>
      </c>
      <c r="D240" s="5" t="s">
        <v>292</v>
      </c>
      <c r="E240" s="8">
        <v>548043</v>
      </c>
      <c r="F240" s="8">
        <v>223658</v>
      </c>
      <c r="G240" s="5" t="s">
        <v>568</v>
      </c>
    </row>
    <row r="241" spans="1:7" x14ac:dyDescent="0.25">
      <c r="A241" s="5" t="s">
        <v>74</v>
      </c>
      <c r="B241" s="5" t="s">
        <v>253</v>
      </c>
      <c r="C241" s="5" t="s">
        <v>569</v>
      </c>
      <c r="D241" s="5" t="s">
        <v>292</v>
      </c>
      <c r="E241" s="8">
        <v>727054</v>
      </c>
      <c r="F241" s="8">
        <v>747628</v>
      </c>
      <c r="G241" s="5" t="s">
        <v>568</v>
      </c>
    </row>
    <row r="242" spans="1:7" x14ac:dyDescent="0.25">
      <c r="A242" s="5" t="s">
        <v>74</v>
      </c>
      <c r="B242" s="5" t="s">
        <v>253</v>
      </c>
      <c r="C242" s="5" t="s">
        <v>570</v>
      </c>
      <c r="D242" s="5" t="s">
        <v>292</v>
      </c>
      <c r="E242" s="8">
        <v>164339</v>
      </c>
      <c r="F242" s="8">
        <v>192954</v>
      </c>
      <c r="G242" s="5" t="s">
        <v>568</v>
      </c>
    </row>
    <row r="243" spans="1:7" x14ac:dyDescent="0.25">
      <c r="A243" s="5" t="s">
        <v>75</v>
      </c>
      <c r="B243" s="5" t="s">
        <v>254</v>
      </c>
      <c r="C243" s="5" t="s">
        <v>344</v>
      </c>
      <c r="D243" s="5" t="s">
        <v>293</v>
      </c>
      <c r="E243" s="8">
        <v>2525456</v>
      </c>
      <c r="F243" s="8">
        <v>2430287</v>
      </c>
      <c r="G243" s="5" t="s">
        <v>390</v>
      </c>
    </row>
    <row r="244" spans="1:7" x14ac:dyDescent="0.25">
      <c r="A244" s="5" t="s">
        <v>75</v>
      </c>
      <c r="B244" s="5" t="s">
        <v>254</v>
      </c>
      <c r="C244" s="5" t="s">
        <v>345</v>
      </c>
      <c r="D244" s="5" t="s">
        <v>293</v>
      </c>
      <c r="E244" s="8">
        <v>638292</v>
      </c>
      <c r="F244" s="8">
        <v>776178</v>
      </c>
      <c r="G244" s="5" t="s">
        <v>390</v>
      </c>
    </row>
    <row r="245" spans="1:7" x14ac:dyDescent="0.25">
      <c r="A245" s="5" t="s">
        <v>75</v>
      </c>
      <c r="B245" s="5" t="s">
        <v>254</v>
      </c>
      <c r="C245" s="5" t="s">
        <v>347</v>
      </c>
      <c r="D245" s="5" t="s">
        <v>293</v>
      </c>
      <c r="E245" s="8">
        <v>209759</v>
      </c>
      <c r="F245" s="8">
        <v>208100</v>
      </c>
      <c r="G245" s="5" t="s">
        <v>390</v>
      </c>
    </row>
    <row r="246" spans="1:7" x14ac:dyDescent="0.25">
      <c r="A246" s="5" t="s">
        <v>75</v>
      </c>
      <c r="B246" s="5" t="s">
        <v>254</v>
      </c>
      <c r="C246" s="5" t="s">
        <v>346</v>
      </c>
      <c r="D246" s="5" t="s">
        <v>293</v>
      </c>
      <c r="E246" s="8">
        <v>283298</v>
      </c>
      <c r="F246" s="8">
        <v>280248</v>
      </c>
      <c r="G246" s="5" t="s">
        <v>390</v>
      </c>
    </row>
    <row r="247" spans="1:7" x14ac:dyDescent="0.25">
      <c r="A247" s="5" t="s">
        <v>75</v>
      </c>
      <c r="B247" s="5" t="s">
        <v>254</v>
      </c>
      <c r="C247" s="5" t="s">
        <v>348</v>
      </c>
      <c r="D247" s="5" t="s">
        <v>293</v>
      </c>
      <c r="E247" s="8">
        <v>27289</v>
      </c>
      <c r="F247" s="8">
        <v>28124</v>
      </c>
      <c r="G247" s="5" t="s">
        <v>390</v>
      </c>
    </row>
    <row r="248" spans="1:7" x14ac:dyDescent="0.25">
      <c r="A248" s="5" t="s">
        <v>76</v>
      </c>
      <c r="B248" s="5" t="s">
        <v>571</v>
      </c>
      <c r="C248" s="5" t="s">
        <v>572</v>
      </c>
      <c r="D248" s="5" t="s">
        <v>292</v>
      </c>
      <c r="E248" s="8">
        <v>349799</v>
      </c>
      <c r="F248" s="8">
        <v>341325</v>
      </c>
      <c r="G248" s="5" t="s">
        <v>573</v>
      </c>
    </row>
    <row r="249" spans="1:7" x14ac:dyDescent="0.25">
      <c r="A249" s="5" t="s">
        <v>76</v>
      </c>
      <c r="B249" s="5" t="s">
        <v>571</v>
      </c>
      <c r="C249" s="5" t="s">
        <v>574</v>
      </c>
      <c r="D249" s="5" t="s">
        <v>292</v>
      </c>
      <c r="E249" s="8">
        <v>255170</v>
      </c>
      <c r="F249" s="8">
        <v>227397</v>
      </c>
      <c r="G249" s="5" t="s">
        <v>573</v>
      </c>
    </row>
    <row r="250" spans="1:7" x14ac:dyDescent="0.25">
      <c r="A250" s="5" t="s">
        <v>76</v>
      </c>
      <c r="B250" s="5" t="s">
        <v>571</v>
      </c>
      <c r="C250" s="5" t="s">
        <v>575</v>
      </c>
      <c r="D250" s="5" t="s">
        <v>292</v>
      </c>
      <c r="E250" s="8">
        <v>168258</v>
      </c>
      <c r="F250" s="8">
        <v>193813</v>
      </c>
      <c r="G250" s="5" t="s">
        <v>573</v>
      </c>
    </row>
    <row r="251" spans="1:7" x14ac:dyDescent="0.25">
      <c r="A251" s="5" t="s">
        <v>76</v>
      </c>
      <c r="B251" s="5" t="s">
        <v>571</v>
      </c>
      <c r="C251" s="5" t="s">
        <v>576</v>
      </c>
      <c r="D251" s="5" t="s">
        <v>293</v>
      </c>
      <c r="E251" s="8">
        <v>349799</v>
      </c>
      <c r="F251" s="8">
        <v>341325</v>
      </c>
      <c r="G251" s="5" t="s">
        <v>577</v>
      </c>
    </row>
    <row r="252" spans="1:7" x14ac:dyDescent="0.25">
      <c r="A252" s="5" t="s">
        <v>76</v>
      </c>
      <c r="B252" s="5" t="s">
        <v>571</v>
      </c>
      <c r="C252" s="5" t="s">
        <v>578</v>
      </c>
      <c r="D252" s="5" t="s">
        <v>292</v>
      </c>
      <c r="E252" s="8">
        <v>49916</v>
      </c>
      <c r="F252" s="8">
        <v>55306</v>
      </c>
      <c r="G252" s="5" t="s">
        <v>573</v>
      </c>
    </row>
    <row r="253" spans="1:7" x14ac:dyDescent="0.25">
      <c r="A253" s="5" t="s">
        <v>77</v>
      </c>
      <c r="B253" s="5" t="s">
        <v>666</v>
      </c>
      <c r="C253" s="5" t="s">
        <v>667</v>
      </c>
      <c r="D253" s="5" t="s">
        <v>292</v>
      </c>
      <c r="E253" s="8">
        <v>1624855</v>
      </c>
      <c r="F253" s="8">
        <v>1719073</v>
      </c>
      <c r="G253" s="5" t="s">
        <v>668</v>
      </c>
    </row>
    <row r="254" spans="1:7" x14ac:dyDescent="0.25">
      <c r="A254" s="5" t="s">
        <v>77</v>
      </c>
      <c r="B254" s="5" t="s">
        <v>666</v>
      </c>
      <c r="C254" s="5" t="s">
        <v>669</v>
      </c>
      <c r="D254" s="5" t="s">
        <v>292</v>
      </c>
      <c r="E254" s="8">
        <v>511088</v>
      </c>
      <c r="F254" s="8">
        <v>395397</v>
      </c>
      <c r="G254" s="5" t="s">
        <v>668</v>
      </c>
    </row>
    <row r="255" spans="1:7" x14ac:dyDescent="0.25">
      <c r="A255" s="5" t="s">
        <v>77</v>
      </c>
      <c r="B255" s="5" t="s">
        <v>666</v>
      </c>
      <c r="C255" s="5" t="s">
        <v>670</v>
      </c>
      <c r="D255" s="5" t="s">
        <v>296</v>
      </c>
      <c r="E255" s="8">
        <v>1077672</v>
      </c>
      <c r="F255" s="8">
        <v>1106707</v>
      </c>
      <c r="G255" s="5" t="s">
        <v>671</v>
      </c>
    </row>
    <row r="256" spans="1:7" x14ac:dyDescent="0.25">
      <c r="A256" s="5" t="s">
        <v>77</v>
      </c>
      <c r="B256" s="5" t="s">
        <v>666</v>
      </c>
      <c r="C256" s="5" t="s">
        <v>672</v>
      </c>
      <c r="D256" s="5" t="s">
        <v>296</v>
      </c>
      <c r="E256" s="8">
        <v>771451</v>
      </c>
      <c r="F256" s="8">
        <v>842692</v>
      </c>
      <c r="G256" s="5" t="s">
        <v>671</v>
      </c>
    </row>
    <row r="257" spans="1:7" x14ac:dyDescent="0.25">
      <c r="A257" s="5" t="s">
        <v>77</v>
      </c>
      <c r="B257" s="5" t="s">
        <v>666</v>
      </c>
      <c r="C257" s="5" t="s">
        <v>673</v>
      </c>
      <c r="D257" s="5" t="s">
        <v>292</v>
      </c>
      <c r="E257" s="8">
        <v>781407</v>
      </c>
      <c r="F257" s="8">
        <v>701777</v>
      </c>
      <c r="G257" s="5" t="s">
        <v>668</v>
      </c>
    </row>
    <row r="258" spans="1:7" x14ac:dyDescent="0.25">
      <c r="A258" s="5" t="s">
        <v>77</v>
      </c>
      <c r="B258" s="5" t="s">
        <v>666</v>
      </c>
      <c r="C258" s="5" t="s">
        <v>674</v>
      </c>
      <c r="D258" s="5" t="s">
        <v>296</v>
      </c>
      <c r="E258" s="8">
        <v>862313</v>
      </c>
      <c r="F258" s="8">
        <v>624891</v>
      </c>
      <c r="G258" s="5" t="s">
        <v>671</v>
      </c>
    </row>
    <row r="259" spans="1:7" x14ac:dyDescent="0.25">
      <c r="A259" s="5" t="s">
        <v>77</v>
      </c>
      <c r="B259" s="5" t="s">
        <v>666</v>
      </c>
      <c r="C259" s="5" t="s">
        <v>675</v>
      </c>
      <c r="D259" s="5" t="s">
        <v>292</v>
      </c>
      <c r="E259" s="8">
        <v>403104</v>
      </c>
      <c r="F259" s="8">
        <v>515397</v>
      </c>
      <c r="G259" s="5" t="s">
        <v>668</v>
      </c>
    </row>
    <row r="260" spans="1:7" x14ac:dyDescent="0.25">
      <c r="A260" s="5" t="s">
        <v>77</v>
      </c>
      <c r="B260" s="5" t="s">
        <v>666</v>
      </c>
      <c r="C260" s="5" t="s">
        <v>676</v>
      </c>
      <c r="D260" s="5" t="s">
        <v>292</v>
      </c>
      <c r="E260" s="8">
        <v>176644</v>
      </c>
      <c r="F260" s="8">
        <v>124142</v>
      </c>
      <c r="G260" s="5" t="s">
        <v>668</v>
      </c>
    </row>
    <row r="261" spans="1:7" x14ac:dyDescent="0.25">
      <c r="A261" s="5" t="s">
        <v>77</v>
      </c>
      <c r="B261" s="5" t="s">
        <v>666</v>
      </c>
      <c r="C261" s="5" t="s">
        <v>677</v>
      </c>
      <c r="D261" s="5" t="s">
        <v>296</v>
      </c>
      <c r="E261" s="8">
        <v>13808</v>
      </c>
      <c r="F261" s="8">
        <v>19314</v>
      </c>
      <c r="G261" s="5" t="s">
        <v>671</v>
      </c>
    </row>
    <row r="262" spans="1:7" x14ac:dyDescent="0.25">
      <c r="A262" s="5" t="s">
        <v>77</v>
      </c>
      <c r="B262" s="5" t="s">
        <v>666</v>
      </c>
      <c r="C262" s="5" t="s">
        <v>678</v>
      </c>
      <c r="D262" s="5" t="s">
        <v>292</v>
      </c>
      <c r="E262" s="8">
        <v>323528</v>
      </c>
      <c r="F262" s="8">
        <v>316010</v>
      </c>
      <c r="G262" s="5" t="s">
        <v>668</v>
      </c>
    </row>
    <row r="263" spans="1:7" x14ac:dyDescent="0.25">
      <c r="A263" s="5" t="s">
        <v>77</v>
      </c>
      <c r="B263" s="5" t="s">
        <v>666</v>
      </c>
      <c r="C263" s="5" t="s">
        <v>679</v>
      </c>
      <c r="D263" s="5" t="s">
        <v>292</v>
      </c>
      <c r="E263" s="8">
        <v>381756</v>
      </c>
      <c r="F263" s="8">
        <v>376301</v>
      </c>
      <c r="G263" s="5" t="s">
        <v>668</v>
      </c>
    </row>
    <row r="264" spans="1:7" x14ac:dyDescent="0.25">
      <c r="A264" s="5" t="s">
        <v>77</v>
      </c>
      <c r="B264" s="5" t="s">
        <v>666</v>
      </c>
      <c r="C264" s="5" t="s">
        <v>680</v>
      </c>
      <c r="D264" s="5" t="s">
        <v>292</v>
      </c>
      <c r="E264" s="8">
        <v>101207</v>
      </c>
      <c r="F264" s="8">
        <v>200901</v>
      </c>
      <c r="G264" s="5" t="s">
        <v>668</v>
      </c>
    </row>
    <row r="265" spans="1:7" x14ac:dyDescent="0.25">
      <c r="A265" s="5" t="s">
        <v>78</v>
      </c>
      <c r="B265" s="5" t="s">
        <v>255</v>
      </c>
      <c r="C265" s="5" t="s">
        <v>349</v>
      </c>
      <c r="D265" s="5" t="s">
        <v>292</v>
      </c>
      <c r="E265" s="8">
        <v>1552149</v>
      </c>
      <c r="F265" s="8">
        <v>1527044</v>
      </c>
      <c r="G265" s="5" t="s">
        <v>391</v>
      </c>
    </row>
    <row r="266" spans="1:7" x14ac:dyDescent="0.25">
      <c r="A266" s="5" t="s">
        <v>78</v>
      </c>
      <c r="B266" s="5" t="s">
        <v>255</v>
      </c>
      <c r="C266" s="5" t="s">
        <v>350</v>
      </c>
      <c r="D266" s="5" t="s">
        <v>292</v>
      </c>
      <c r="E266" s="8">
        <v>1357682</v>
      </c>
      <c r="F266" s="8">
        <v>1377814</v>
      </c>
      <c r="G266" s="5" t="s">
        <v>391</v>
      </c>
    </row>
    <row r="267" spans="1:7" x14ac:dyDescent="0.25">
      <c r="A267" s="5" t="s">
        <v>78</v>
      </c>
      <c r="B267" s="5" t="s">
        <v>255</v>
      </c>
      <c r="C267" s="5" t="s">
        <v>351</v>
      </c>
      <c r="D267" s="5" t="s">
        <v>292</v>
      </c>
      <c r="E267" s="8">
        <v>3316209</v>
      </c>
      <c r="F267" s="8">
        <v>3328035</v>
      </c>
      <c r="G267" s="5" t="s">
        <v>391</v>
      </c>
    </row>
    <row r="268" spans="1:7" x14ac:dyDescent="0.25">
      <c r="A268" s="5" t="s">
        <v>78</v>
      </c>
      <c r="B268" s="5" t="s">
        <v>255</v>
      </c>
      <c r="C268" s="5" t="s">
        <v>352</v>
      </c>
      <c r="D268" s="5" t="s">
        <v>292</v>
      </c>
      <c r="E268" s="8">
        <v>777899</v>
      </c>
      <c r="F268" s="8">
        <v>776396</v>
      </c>
      <c r="G268" s="5" t="s">
        <v>391</v>
      </c>
    </row>
    <row r="269" spans="1:7" x14ac:dyDescent="0.25">
      <c r="A269" s="5" t="s">
        <v>78</v>
      </c>
      <c r="B269" s="5" t="s">
        <v>255</v>
      </c>
      <c r="C269" s="5" t="s">
        <v>353</v>
      </c>
      <c r="D269" s="5" t="s">
        <v>293</v>
      </c>
      <c r="E269" s="8">
        <v>5161</v>
      </c>
      <c r="F269" s="8">
        <v>7191</v>
      </c>
      <c r="G269" s="5" t="s">
        <v>392</v>
      </c>
    </row>
    <row r="270" spans="1:7" x14ac:dyDescent="0.25">
      <c r="A270" s="5" t="s">
        <v>78</v>
      </c>
      <c r="B270" s="5" t="s">
        <v>255</v>
      </c>
      <c r="C270" s="5" t="s">
        <v>354</v>
      </c>
      <c r="D270" s="5" t="s">
        <v>292</v>
      </c>
      <c r="E270" s="8">
        <v>4795244</v>
      </c>
      <c r="F270" s="8">
        <v>4858678</v>
      </c>
      <c r="G270" s="5" t="s">
        <v>391</v>
      </c>
    </row>
    <row r="271" spans="1:7" x14ac:dyDescent="0.25">
      <c r="A271" s="5" t="s">
        <v>78</v>
      </c>
      <c r="B271" s="5" t="s">
        <v>255</v>
      </c>
      <c r="C271" s="5" t="s">
        <v>355</v>
      </c>
      <c r="D271" s="5" t="s">
        <v>292</v>
      </c>
      <c r="E271" s="8">
        <v>1799545</v>
      </c>
      <c r="F271" s="8">
        <v>1812005</v>
      </c>
      <c r="G271" s="5" t="s">
        <v>391</v>
      </c>
    </row>
    <row r="272" spans="1:7" x14ac:dyDescent="0.25">
      <c r="A272" s="5" t="s">
        <v>78</v>
      </c>
      <c r="B272" s="5" t="s">
        <v>255</v>
      </c>
      <c r="C272" s="5" t="s">
        <v>356</v>
      </c>
      <c r="D272" s="5" t="s">
        <v>292</v>
      </c>
      <c r="E272" s="8">
        <v>1427898</v>
      </c>
      <c r="F272" s="8">
        <v>1377835</v>
      </c>
      <c r="G272" s="5" t="s">
        <v>391</v>
      </c>
    </row>
    <row r="273" spans="1:7" x14ac:dyDescent="0.25">
      <c r="A273" s="5" t="s">
        <v>78</v>
      </c>
      <c r="B273" s="5" t="s">
        <v>255</v>
      </c>
      <c r="C273" s="5" t="s">
        <v>357</v>
      </c>
      <c r="D273" s="5" t="s">
        <v>292</v>
      </c>
      <c r="E273" s="8">
        <v>1311438</v>
      </c>
      <c r="F273" s="8">
        <v>1254988</v>
      </c>
      <c r="G273" s="5" t="s">
        <v>391</v>
      </c>
    </row>
    <row r="274" spans="1:7" x14ac:dyDescent="0.25">
      <c r="B274"/>
      <c r="E274"/>
      <c r="F274"/>
    </row>
    <row r="275" spans="1:7" x14ac:dyDescent="0.25">
      <c r="B275"/>
      <c r="E275"/>
      <c r="F275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Navngivne områder</vt:lpstr>
      </vt:variant>
      <vt:variant>
        <vt:i4>1</vt:i4>
      </vt:variant>
    </vt:vector>
  </HeadingPairs>
  <TitlesOfParts>
    <vt:vector size="11" baseType="lpstr">
      <vt:lpstr>Til R-koder</vt:lpstr>
      <vt:lpstr>Potentialer og krav</vt:lpstr>
      <vt:lpstr>Netvolumenmål gns.</vt:lpstr>
      <vt:lpstr>Netvolumenmål 2024</vt:lpstr>
      <vt:lpstr>Netvolumenmål 2025</vt:lpstr>
      <vt:lpstr>Costdrivere gns.</vt:lpstr>
      <vt:lpstr>Costdrivere 2024</vt:lpstr>
      <vt:lpstr>Costdrivere 2025</vt:lpstr>
      <vt:lpstr>Vandværker</vt:lpstr>
      <vt:lpstr>Nøgletal</vt:lpstr>
      <vt:lpstr>Tabel_NøgleTal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Tyge Helms Skov (KFST)</dc:creator>
  <cp:lastModifiedBy>Paul Lynggård Hansen</cp:lastModifiedBy>
  <dcterms:created xsi:type="dcterms:W3CDTF">2018-04-10T06:57:44Z</dcterms:created>
  <dcterms:modified xsi:type="dcterms:W3CDTF">2026-09-02T09:24:47Z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13</vt:i4>
  </property>
</Properties>
</file>