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vidovre AS (S04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<sst xmlns="http://schemas.openxmlformats.org/spreadsheetml/2006/main" count="607" uniqueCount="289">
  <si>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</si>
  <si>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</si>
  <si>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</si>
  <si>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</si>
  <si>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</si>
  <si>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</si>
  <si>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</si>
  <si>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</si>
  <si>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</si>
  <si>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</si>
  <si>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</si>
  <si>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</si>
  <si>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</si>
  <si>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</si>
  <si>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</si>
  <si>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</si>
  <si>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</si>
  <si>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</si>
  <si>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</si>
  <si>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</si>
  <si>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</si>
  <si>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</si>
  <si>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</si>
  <si>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</si>
  <si>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</si>
  <si>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</si>
  <si>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</si>
  <si>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</si>
  <si>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</si>
  <si>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</si>
  <si>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</si>
  <si>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</si>
  <si>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</si>
  <si>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</si>
  <si>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</si>
  <si>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</si>
  <si>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</si>
  <si>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</si>
  <si>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</si>
  <si>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</si>
  <si>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</si>
  <si>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</si>
  <si>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</si>
  <si>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</si>
  <si>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</si>
  <si>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</si>
  <si>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</si>
  <si>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</si>
  <si>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</si>
  <si>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</si>
  <si>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</si>
  <si>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</si>
  <si>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</si>
  <si>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</si>
  <si>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</si>
  <si>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</si>
  <si>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</si>
  <si>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</si>
  <si>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</si>
  <si>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</si>
  <si>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</si>
  <si>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</si>
  <si>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</si>
  <si>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</si>
  <si>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</si>
  <si>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</si>
  <si>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</si>
  <si>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</si>
  <si>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</si>
  <si>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</si>
  <si>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</si>
  <si>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</si>
  <si>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</si>
  <si>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</si>
  <si>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</si>
  <si>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</si>
  <si>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</si>
  <si>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</si>
  <si>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</si>
  <si>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</si>
  <si>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</si>
  <si>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</si>
  <si>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</si>
  <si>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</si>
  <si>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</si>
  <si>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</si>
  <si>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</si>
  <si>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</si>
  <si>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</si>
  <si>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</si>
  <si>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</si>
  <si>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</si>
  <si>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</si>
  <si>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</si>
  <si>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</si>
  <si>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</si>
  <si>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</si>
  <si>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</si>
  <si>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</si>
  <si>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</si>
  <si>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</si>
  <si>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</si>
  <si>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</si>
  <si>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</si>
  <si>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</si>
  <si>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</si>
  <si>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</si>
  <si>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</si>
  <si>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</si>
  <si>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</si>
  <si>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</si>
  <si>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</si>
  <si>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</si>
  <si>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</si>
  <si>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</si>
  <si>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</si>
  <si>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</si>
  <si>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</si>
  <si>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</si>
  <si>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</si>
  <si>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</si>
  <si>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</si>
  <si>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</si>
  <si>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</si>
  <si>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</si>
  <si>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</si>
  <si>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</si>
  <si>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</si>
  <si>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</si>
  <si>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</si>
  <si>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</si>
  <si>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</si>
  <si>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</si>
  <si>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</si>
  <si>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</si>
  <si>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</si>
  <si>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</si>
  <si>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</si>
  <si>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</si>
  <si>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</si>
  <si>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</si>
  <si>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</si>
  <si>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</si>
  <si>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</si>
  <si>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</si>
  <si>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</si>
  <si>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</si>
  <si>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</si>
  <si>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</si>
  <si>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</si>
  <si>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</si>
  <si>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</si>
  <si>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</si>
  <si>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</si>
  <si>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</si>
  <si>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</si>
  <si>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</si>
  <si>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</si>
  <si>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</si>
  <si>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</si>
  <si>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</si>
  <si>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</si>
  <si>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</si>
  <si>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</si>
  <si>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</si>
  <si>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</si>
  <si>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</si>
  <si>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</si>
  <si>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</si>
  <si>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</si>
  <si>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</si>
  <si>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</si>
  <si>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</si>
  <si>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</si>
  <si>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</si>
  <si>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</si>
  <si>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</si>
  <si>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</si>
  <si>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</si>
  <si>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</si>
  <si>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</si>
  <si>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</si>
  <si>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</si>
  <si>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</si>
  <si>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</si>
  <si>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</si>
  <si>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</si>
  <si>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</si>
  <si>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</si>
  <si>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</si>
  <si>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</si>
  <si>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</si>
  <si>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</si>
  <si>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</si>
  <si>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</si>
  <si>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</si>
  <si>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</si>
  <si>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</si>
  <si>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</si>
  <si>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</si>
  <si>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</si>
  <si>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</si>
  <si>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</si>
  <si>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</si>
  <si>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</si>
  <si>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</si>
  <si>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</si>
  <si>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</si>
  <si>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</si>
  <si>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</si>
  <si>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</si>
  <si>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</si>
  <si>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</si>
  <si>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</si>
  <si>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</si>
  <si>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</si>
  <si>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</si>
  <si>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</si>
  <si>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</si>
  <si>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</si>
  <si>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</si>
  <si>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</si>
  <si>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</si>
  <si>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</si>
  <si>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</si>
  <si>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</si>
  <si>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</si>
  <si>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</si>
  <si>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</si>
  <si>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</si>
  <si>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</si>
  <si>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</si>
  <si>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</si>
  <si>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</si>
  <si>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</si>
  <si>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</si>
  <si>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</si>
  <si>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</si>
  <si>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</si>
  <si>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</si>
  <si>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</si>
  <si>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</si>
  <si>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</si>
  <si>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</si>
  <si>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</si>
  <si>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</si>
  <si>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</si>
  <si>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</si>
  <si>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</si>
  <si>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</si>
  <si>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</si>
  <si>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</si>
  <si>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</si>
  <si>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</si>
  <si>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</si>
  <si>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</si>
  <si>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</si>
  <si>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</si>
  <si>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</si>
  <si>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</si>
  <si>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</si>
  <si>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</si>
  <si>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</si>
  <si>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</si>
  <si>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</si>
  <si>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</si>
  <si>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</si>
  <si>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</si>
  <si>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Tjenestemandspensioner</t>
  </si>
  <si>
    <t>Resultat af kontrol med overholdelse af den økonomiske ramme for 2021</t>
  </si>
  <si>
    <t>Harrestrup Å</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</si>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</sst>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M2PBtZc8t+oflUFN87YVf1arFvcNlu8Jo/Wur2dUII/+Fdb8QNMuF1cWnfU3DMup04UVMj0SG5sejc3NLPaUhQ==" saltValue="jLQkVe8EL7t4f36Ucb5Cs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136269</v>
      </c>
      <c r="D10" s="14" t="s">
        <v>3</v>
      </c>
      <c r="E10" s="1"/>
      <c r="F10" s="1"/>
    </row>
    <row r="11" spans="1:6" x14ac:dyDescent="0.25">
      <c r="A11" s="1"/>
      <c r="B11" s="94" t="s">
        <v>266</v>
      </c>
      <c r="C11" s="9">
        <v>22651911</v>
      </c>
      <c r="D11" s="14" t="s">
        <v>3</v>
      </c>
      <c r="E11" s="1"/>
      <c r="F11" s="1"/>
    </row>
    <row r="12" spans="1:6" x14ac:dyDescent="0.25">
      <c r="A12" s="1"/>
      <c r="B12" s="94" t="s">
        <v>267</v>
      </c>
      <c r="C12" s="9">
        <v>36418</v>
      </c>
      <c r="D12" s="14" t="s">
        <v>3</v>
      </c>
      <c r="E12" s="1"/>
      <c r="F12" s="1"/>
    </row>
    <row r="13" spans="1:6" x14ac:dyDescent="0.25">
      <c r="A13" s="1"/>
      <c r="B13" s="94" t="s">
        <v>268</v>
      </c>
      <c r="C13" s="9">
        <v>381983</v>
      </c>
      <c r="D13" s="14" t="s">
        <v>3</v>
      </c>
      <c r="E13" s="1"/>
      <c r="F13" s="1"/>
    </row>
    <row r="14" spans="1:6" x14ac:dyDescent="0.25">
      <c r="A14" s="1"/>
      <c r="B14" s="32" t="s">
        <v>200</v>
      </c>
      <c r="C14" s="12">
        <f>SUM(C10:C13)</f>
        <v>23206581</v>
      </c>
      <c r="D14" s="13" t="s">
        <v>3</v>
      </c>
      <c r="E14" s="1"/>
      <c r="F14" s="1"/>
    </row>
    <row r="15" spans="1:6" x14ac:dyDescent="0.25">
      <c r="A15" s="1"/>
      <c r="B15" s="32" t="s">
        <v>201</v>
      </c>
      <c r="C15" s="12">
        <f>C14*(1+'Fane 15. Nøgletal'!C15)^2</f>
        <v>24888300.659696162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5" t="s">
        <v>117</v>
      </c>
      <c r="C18" s="136"/>
      <c r="D18" s="137"/>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5"/>
      <c r="C23" s="136"/>
      <c r="D23" s="137"/>
      <c r="E23" s="1"/>
      <c r="F23" s="1"/>
    </row>
    <row r="24" spans="1:6" x14ac:dyDescent="0.25">
      <c r="A24" s="1"/>
      <c r="B24" s="1"/>
      <c r="C24" s="1"/>
      <c r="D24" s="1"/>
      <c r="E24" s="1"/>
      <c r="F24" s="1"/>
    </row>
    <row r="25" spans="1:6" x14ac:dyDescent="0.25">
      <c r="A25" s="1"/>
      <c r="B25" s="1"/>
      <c r="C25" s="1"/>
      <c r="D25" s="1"/>
      <c r="E25" s="1"/>
      <c r="F25" s="1"/>
    </row>
    <row r="26" spans="1:6" x14ac:dyDescent="0.25">
      <c r="A26" s="1"/>
      <c r="B26" s="135" t="s">
        <v>98</v>
      </c>
      <c r="C26" s="136"/>
      <c r="D26" s="137"/>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5"/>
      <c r="C31" s="136"/>
      <c r="D31" s="137"/>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QTxMVBpq4DKECBYhUmBngAcwQLUsXXT3+Zi9z6RezjdAGLd/kkyiu0PXHZ2HJeg/tnaIozz7ktFMBMVWcWRnsw==" saltValue="W+sLo1ZRdEaM1gSSVKQIv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-5280776.3259786814</v>
      </c>
      <c r="F9" s="14" t="s">
        <v>3</v>
      </c>
      <c r="G9" s="1"/>
    </row>
    <row r="10" spans="1:7" x14ac:dyDescent="0.25">
      <c r="A10" s="1"/>
      <c r="B10" s="140" t="s">
        <v>263</v>
      </c>
      <c r="C10" s="141"/>
      <c r="D10" s="142"/>
      <c r="E10" s="9">
        <v>0</v>
      </c>
      <c r="F10" s="14" t="s">
        <v>3</v>
      </c>
      <c r="G10" s="1"/>
    </row>
    <row r="11" spans="1:7" x14ac:dyDescent="0.25">
      <c r="A11" s="1"/>
      <c r="B11" s="32"/>
      <c r="C11" s="27"/>
      <c r="D11" s="27"/>
      <c r="E11" s="27"/>
      <c r="F11" s="19"/>
      <c r="G11" s="1"/>
    </row>
    <row r="12" spans="1:7" ht="81" customHeight="1" x14ac:dyDescent="0.25">
      <c r="A12" s="1"/>
      <c r="B12" s="125" t="s">
        <v>286</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281</v>
      </c>
      <c r="C15" s="141"/>
      <c r="D15" s="142"/>
      <c r="E15" s="9">
        <v>0</v>
      </c>
      <c r="F15" s="14" t="s">
        <v>3</v>
      </c>
      <c r="G15" s="1"/>
    </row>
    <row r="16" spans="1:7" x14ac:dyDescent="0.25">
      <c r="A16" s="1"/>
      <c r="B16" s="140" t="s">
        <v>282</v>
      </c>
      <c r="C16" s="141"/>
      <c r="D16" s="142"/>
      <c r="E16" s="9">
        <v>0</v>
      </c>
      <c r="F16" s="14" t="s">
        <v>3</v>
      </c>
      <c r="G16" s="1"/>
    </row>
    <row r="17" spans="1:7" x14ac:dyDescent="0.25">
      <c r="A17" s="1"/>
      <c r="B17" s="32"/>
      <c r="C17" s="27"/>
      <c r="D17" s="27"/>
      <c r="E17" s="27"/>
      <c r="F17" s="19"/>
      <c r="G17" s="1"/>
    </row>
    <row r="18" spans="1:7" ht="31.5" customHeight="1" x14ac:dyDescent="0.25">
      <c r="A18" s="1"/>
      <c r="B18" s="125" t="s">
        <v>287</v>
      </c>
      <c r="C18" s="126"/>
      <c r="D18" s="126"/>
      <c r="E18" s="126"/>
      <c r="F18" s="127"/>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94604482.552885205</v>
      </c>
      <c r="F21" s="14" t="s">
        <v>3</v>
      </c>
      <c r="G21" s="1"/>
    </row>
    <row r="22" spans="1:7" x14ac:dyDescent="0.25">
      <c r="A22" s="1"/>
      <c r="B22" s="91" t="s">
        <v>207</v>
      </c>
      <c r="C22" s="92"/>
      <c r="D22" s="93"/>
      <c r="E22" s="9">
        <v>102003246</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-7398763.4471147954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283</v>
      </c>
      <c r="C27" s="136"/>
      <c r="D27" s="136"/>
      <c r="E27" s="136"/>
      <c r="F27" s="137"/>
      <c r="G27" s="1"/>
    </row>
    <row r="28" spans="1:7" x14ac:dyDescent="0.25">
      <c r="A28" s="1"/>
      <c r="B28" s="138" t="s">
        <v>284</v>
      </c>
      <c r="C28" s="139"/>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60" t="s">
        <v>143</v>
      </c>
      <c r="C32" s="161"/>
      <c r="D32" s="162"/>
      <c r="E32" s="74">
        <f>IF(AND(E9&gt;0,(E9+E24)&gt;0),0,IF(AND(E9&gt;0,(E9+E24)&lt;0),(E9+E24),IF(AND(E9&lt;0,E24&lt;0),E24,0)))</f>
        <v>-7398763.4471147954</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-1849690.8617786989</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49"/>
      <c r="B39" s="49"/>
      <c r="C39" s="49"/>
      <c r="D39" s="49"/>
      <c r="E39" s="49"/>
      <c r="F39" s="49"/>
      <c r="G39" s="49"/>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o5aiG+c09hZ0g01HBFyRSAPUXdke68ExMq8AFT/mCyvGDfM08wanY8OkM8oOIKrJkqtm0faSdsuboU4tGHWo8w==" saltValue="Q9pZiGFXQKg/pCuiAuPZN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272</v>
      </c>
      <c r="C10" s="164"/>
      <c r="D10" s="164"/>
      <c r="E10" s="164"/>
      <c r="F10" s="165"/>
      <c r="G10" s="9">
        <v>0</v>
      </c>
      <c r="H10" s="9" t="s">
        <v>3</v>
      </c>
      <c r="I10" s="1"/>
    </row>
    <row r="11" spans="1:9" x14ac:dyDescent="0.25">
      <c r="A11" s="1"/>
      <c r="B11" s="163" t="s">
        <v>273</v>
      </c>
      <c r="C11" s="164"/>
      <c r="D11" s="164"/>
      <c r="E11" s="164"/>
      <c r="F11" s="165"/>
      <c r="G11" s="9">
        <v>0</v>
      </c>
      <c r="H11" s="9" t="s">
        <v>3</v>
      </c>
      <c r="I11" s="1"/>
    </row>
    <row r="12" spans="1:9" x14ac:dyDescent="0.25">
      <c r="A12" s="1"/>
      <c r="B12" s="163" t="s">
        <v>274</v>
      </c>
      <c r="C12" s="164"/>
      <c r="D12" s="164"/>
      <c r="E12" s="164"/>
      <c r="F12" s="165"/>
      <c r="G12" s="9">
        <v>0</v>
      </c>
      <c r="H12" s="9" t="s">
        <v>3</v>
      </c>
      <c r="I12" s="1"/>
    </row>
    <row r="13" spans="1:9" x14ac:dyDescent="0.25">
      <c r="A13" s="1"/>
      <c r="B13" s="163" t="s">
        <v>275</v>
      </c>
      <c r="C13" s="164"/>
      <c r="D13" s="164"/>
      <c r="E13" s="164"/>
      <c r="F13" s="165"/>
      <c r="G13" s="9">
        <v>0</v>
      </c>
      <c r="H13" s="9" t="s">
        <v>3</v>
      </c>
      <c r="I13" s="1"/>
    </row>
    <row r="14" spans="1:9" x14ac:dyDescent="0.25">
      <c r="A14" s="1"/>
      <c r="B14" s="163" t="s">
        <v>276</v>
      </c>
      <c r="C14" s="164"/>
      <c r="D14" s="164"/>
      <c r="E14" s="164"/>
      <c r="F14" s="165"/>
      <c r="G14" s="9">
        <v>0</v>
      </c>
      <c r="H14" s="9" t="s">
        <v>3</v>
      </c>
      <c r="I14" s="1"/>
    </row>
    <row r="15" spans="1:9" x14ac:dyDescent="0.25">
      <c r="A15" s="1"/>
      <c r="B15" s="163" t="s">
        <v>277</v>
      </c>
      <c r="C15" s="164"/>
      <c r="D15" s="164"/>
      <c r="E15" s="164"/>
      <c r="F15" s="165"/>
      <c r="G15" s="9">
        <v>0</v>
      </c>
      <c r="H15" s="9" t="s">
        <v>3</v>
      </c>
      <c r="I15" s="1"/>
    </row>
    <row r="16" spans="1:9" x14ac:dyDescent="0.25">
      <c r="A16" s="1"/>
      <c r="B16" s="163" t="s">
        <v>278</v>
      </c>
      <c r="C16" s="164"/>
      <c r="D16" s="164"/>
      <c r="E16" s="164"/>
      <c r="F16" s="165"/>
      <c r="G16" s="9">
        <v>0</v>
      </c>
      <c r="H16" s="9" t="s">
        <v>3</v>
      </c>
      <c r="I16" s="1"/>
    </row>
    <row r="17" spans="1:9" x14ac:dyDescent="0.25">
      <c r="A17" s="1"/>
      <c r="B17" s="163" t="s">
        <v>279</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Kzn35mf54LB8n8+5YHmeZN8ZZOEvN4hlbdTGD4WPgexkv1C6y6rDy8d76zY+bed901cXeax1cRfWYn6lrUHluA==" saltValue="B+DVmbwTDzV4QeoVF8SvB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149962</v>
      </c>
      <c r="F11" s="8" t="s">
        <v>3</v>
      </c>
      <c r="G11" s="1"/>
    </row>
    <row r="12" spans="1:7" x14ac:dyDescent="0.25">
      <c r="A12" s="1"/>
      <c r="B12" s="138" t="s">
        <v>101</v>
      </c>
      <c r="C12" s="139"/>
      <c r="D12" s="159"/>
      <c r="E12" s="10">
        <f>E11-E10</f>
        <v>149962</v>
      </c>
      <c r="F12" s="11" t="s">
        <v>3</v>
      </c>
      <c r="G12" s="1"/>
    </row>
    <row r="13" spans="1:7" x14ac:dyDescent="0.25">
      <c r="A13" s="1"/>
      <c r="B13" s="135" t="s">
        <v>94</v>
      </c>
      <c r="C13" s="136"/>
      <c r="D13" s="136"/>
      <c r="E13" s="136"/>
      <c r="F13" s="137"/>
      <c r="G13" s="1"/>
    </row>
    <row r="14" spans="1:7" x14ac:dyDescent="0.25">
      <c r="A14" s="1"/>
      <c r="B14" s="140" t="s">
        <v>210</v>
      </c>
      <c r="C14" s="141"/>
      <c r="D14" s="142"/>
      <c r="E14" s="9"/>
      <c r="F14" s="8" t="s">
        <v>3</v>
      </c>
      <c r="G14" s="1"/>
    </row>
    <row r="15" spans="1:7" x14ac:dyDescent="0.25">
      <c r="A15" s="1"/>
      <c r="B15" s="125" t="s">
        <v>211</v>
      </c>
      <c r="C15" s="126"/>
      <c r="D15" s="127"/>
      <c r="E15" s="9"/>
      <c r="F15" s="8" t="s">
        <v>3</v>
      </c>
      <c r="G15" s="1"/>
    </row>
    <row r="16" spans="1:7" x14ac:dyDescent="0.25">
      <c r="A16" s="1"/>
      <c r="B16" s="138" t="s">
        <v>101</v>
      </c>
      <c r="C16" s="139"/>
      <c r="D16" s="159"/>
      <c r="E16" s="10">
        <f>E15-E14</f>
        <v>0</v>
      </c>
      <c r="F16" s="11" t="s">
        <v>3</v>
      </c>
      <c r="G16" s="1"/>
    </row>
    <row r="17" spans="1:7" x14ac:dyDescent="0.25">
      <c r="A17" s="1"/>
      <c r="B17" s="32" t="s">
        <v>212</v>
      </c>
      <c r="C17" s="27"/>
      <c r="D17" s="27"/>
      <c r="E17" s="12">
        <f>E12+E16</f>
        <v>149962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qSyhOsUsUzJ26mfCjr7a8tx146bM1UKX/bwo9/Vm4E2rfCaFMQlhxlcfHkZGiNMRxXpq5zOMKrIEl9aS2KT9Q==" saltValue="b2BFeAG06qSIS2IZWdBix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jliO4UFG4z5UvhlACukHzxZFZlFCaHbfubtRnsYmE9LtN7u9NhiNl8PwOX/b/HNEQtRuyTwwmDPukscdU/Pqg==" saltValue="NIEIQslgYLIL+bm7fPoiG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621233</v>
      </c>
      <c r="D11" s="14" t="s">
        <v>3</v>
      </c>
      <c r="E11" s="9">
        <v>0</v>
      </c>
      <c r="F11" s="14" t="s">
        <v>3</v>
      </c>
      <c r="G11" s="1"/>
    </row>
    <row r="12" spans="1:7" x14ac:dyDescent="0.25">
      <c r="A12" s="1"/>
      <c r="B12" s="32" t="s">
        <v>156</v>
      </c>
      <c r="C12" s="12">
        <f>SUM(C10:C11)</f>
        <v>621233</v>
      </c>
      <c r="D12" s="13" t="s">
        <v>3</v>
      </c>
      <c r="E12" s="12">
        <f>SUM(E10:E11)</f>
        <v>0</v>
      </c>
      <c r="F12" s="13" t="s">
        <v>3</v>
      </c>
      <c r="G12" s="1"/>
    </row>
    <row r="13" spans="1:7" x14ac:dyDescent="0.25">
      <c r="A13" s="1"/>
      <c r="B13" s="32" t="s">
        <v>213</v>
      </c>
      <c r="C13" s="12">
        <f>C12*(1+'Fane 15. Nøgletal'!C15)</f>
        <v>643348.89480000001</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Oz7juyTt4leHf12ZKEDzN/MviZouEjvHfzaJyqZxZXqa9AT/RiZRKKbGL8/C5ZCBDdOrt4zm119kxEWyakhxg==" saltValue="8qtidJjZtHHM9M07gnONV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3" t="s">
        <v>17</v>
      </c>
      <c r="C9" s="83" t="s">
        <v>11</v>
      </c>
      <c r="D9" s="84"/>
      <c r="E9" s="83" t="s">
        <v>31</v>
      </c>
      <c r="F9" s="31"/>
      <c r="G9" s="1"/>
    </row>
    <row r="10" spans="1:7" x14ac:dyDescent="0.25">
      <c r="A10" s="1"/>
      <c r="B10" s="23" t="s">
        <v>288</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PrS6zFUlBsGGStLWIxlPQm6DmdQUnkp6+VytVs01uiT32h1SvQJzQjDrnWPoiCzju0koFIyOX+T3+wI4ve0OTw==" saltValue="ozman/Gb+5jkZ8QiqNd6h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82335.676330438044</v>
      </c>
      <c r="F10" s="14" t="s">
        <v>3</v>
      </c>
      <c r="G10" s="1"/>
    </row>
    <row r="11" spans="1:7" x14ac:dyDescent="0.25">
      <c r="A11" s="1"/>
      <c r="B11" s="129" t="s">
        <v>10</v>
      </c>
      <c r="C11" s="130"/>
      <c r="D11" s="131"/>
      <c r="E11" s="9">
        <f>-E10*'Fane 5. Individuelt eff. krav'!G9</f>
        <v>-1646.713526608761</v>
      </c>
      <c r="F11" s="14" t="s">
        <v>3</v>
      </c>
      <c r="G11" s="1"/>
    </row>
    <row r="12" spans="1:7" x14ac:dyDescent="0.25">
      <c r="A12" s="1"/>
      <c r="B12" s="129" t="s">
        <v>24</v>
      </c>
      <c r="C12" s="130"/>
      <c r="D12" s="131"/>
      <c r="E12" s="9">
        <f>-E10*'Fane 15. Nøgletal'!C31</f>
        <v>-1646.713526608761</v>
      </c>
      <c r="F12" s="14" t="s">
        <v>3</v>
      </c>
      <c r="G12" s="1"/>
    </row>
    <row r="13" spans="1:7" x14ac:dyDescent="0.25">
      <c r="A13" s="1"/>
      <c r="B13" s="135" t="s">
        <v>92</v>
      </c>
      <c r="C13" s="136"/>
      <c r="D13" s="137"/>
      <c r="E13" s="12">
        <f>SUM(E10:E12)*(1+'Fane 15. Nøgletal'!C15)^2</f>
        <v>84770.232410802622</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82335.676330438044</v>
      </c>
      <c r="F16" s="14" t="s">
        <v>3</v>
      </c>
      <c r="G16" s="1"/>
    </row>
    <row r="17" spans="1:7" x14ac:dyDescent="0.25">
      <c r="A17" s="1"/>
      <c r="B17" s="129" t="s">
        <v>10</v>
      </c>
      <c r="C17" s="130"/>
      <c r="D17" s="131"/>
      <c r="E17" s="9">
        <f>-E16*'Fane 5. Individuelt eff. krav'!G9</f>
        <v>-1646.713526608761</v>
      </c>
      <c r="F17" s="14" t="s">
        <v>3</v>
      </c>
      <c r="G17" s="1"/>
    </row>
    <row r="18" spans="1:7" x14ac:dyDescent="0.25">
      <c r="A18" s="1"/>
      <c r="B18" s="129" t="s">
        <v>24</v>
      </c>
      <c r="C18" s="130"/>
      <c r="D18" s="131"/>
      <c r="E18" s="9">
        <f>-E16*'Fane 15. Nøgletal'!C31</f>
        <v>-1646.713526608761</v>
      </c>
      <c r="F18" s="14" t="s">
        <v>3</v>
      </c>
      <c r="G18" s="1"/>
    </row>
    <row r="19" spans="1:7" x14ac:dyDescent="0.25">
      <c r="A19" s="1"/>
      <c r="B19" s="135" t="s">
        <v>131</v>
      </c>
      <c r="C19" s="136"/>
      <c r="D19" s="137"/>
      <c r="E19" s="12">
        <f>SUM(E16:E18)*(1+'Fane 15. Nøgletal'!C15)^3</f>
        <v>87788.052684627197</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82335.676330438044</v>
      </c>
      <c r="F22" s="14" t="s">
        <v>3</v>
      </c>
      <c r="G22" s="1"/>
    </row>
    <row r="23" spans="1:7" x14ac:dyDescent="0.25">
      <c r="A23" s="1"/>
      <c r="B23" s="129" t="s">
        <v>10</v>
      </c>
      <c r="C23" s="130"/>
      <c r="D23" s="131"/>
      <c r="E23" s="9">
        <f>-E22*'Fane 5. Individuelt eff. krav'!G9</f>
        <v>-1646.713526608761</v>
      </c>
      <c r="F23" s="14" t="s">
        <v>3</v>
      </c>
      <c r="G23" s="1"/>
    </row>
    <row r="24" spans="1:7" x14ac:dyDescent="0.25">
      <c r="A24" s="1"/>
      <c r="B24" s="129" t="s">
        <v>24</v>
      </c>
      <c r="C24" s="130"/>
      <c r="D24" s="131"/>
      <c r="E24" s="9">
        <f>-E22*'Fane 15. Nøgletal'!C31</f>
        <v>-1646.713526608761</v>
      </c>
      <c r="F24" s="14" t="s">
        <v>3</v>
      </c>
      <c r="G24" s="1"/>
    </row>
    <row r="25" spans="1:7" x14ac:dyDescent="0.25">
      <c r="A25" s="1"/>
      <c r="B25" s="135" t="s">
        <v>158</v>
      </c>
      <c r="C25" s="136"/>
      <c r="D25" s="137"/>
      <c r="E25" s="12">
        <f>SUM(E22:E24)*(1+'Fane 15. Nøgletal'!C15)^4</f>
        <v>90913.30736019992</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82335.676330438044</v>
      </c>
      <c r="F28" s="14" t="s">
        <v>3</v>
      </c>
      <c r="G28" s="1"/>
    </row>
    <row r="29" spans="1:7" x14ac:dyDescent="0.25">
      <c r="A29" s="1"/>
      <c r="B29" s="129" t="s">
        <v>10</v>
      </c>
      <c r="C29" s="130"/>
      <c r="D29" s="131"/>
      <c r="E29" s="9">
        <f>-E28*'Fane 5. Individuelt eff. krav'!G9</f>
        <v>-1646.713526608761</v>
      </c>
      <c r="F29" s="14" t="s">
        <v>3</v>
      </c>
      <c r="G29" s="1"/>
    </row>
    <row r="30" spans="1:7" x14ac:dyDescent="0.25">
      <c r="A30" s="1"/>
      <c r="B30" s="129" t="s">
        <v>24</v>
      </c>
      <c r="C30" s="130"/>
      <c r="D30" s="131"/>
      <c r="E30" s="9">
        <f>-E28*'Fane 15. Nøgletal'!C31</f>
        <v>-1646.713526608761</v>
      </c>
      <c r="F30" s="14" t="s">
        <v>3</v>
      </c>
      <c r="G30" s="1"/>
    </row>
    <row r="31" spans="1:7" x14ac:dyDescent="0.25">
      <c r="A31" s="1"/>
      <c r="B31" s="135" t="s">
        <v>215</v>
      </c>
      <c r="C31" s="136"/>
      <c r="D31" s="137"/>
      <c r="E31" s="12">
        <f>SUM(E28:E30)*(1+'Fane 15. Nøgletal'!C15)^5</f>
        <v>94149.821102223053</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aWbc0zrHtCwkncVETvjvibmjMhO97QHlfJYYCzSY4rVidMgGmaHGKf4i/TE8OE7mgxLsKN9B+QJSN0idqlP8w==" saltValue="a1DZrnOVvucVc/Kjd4jSb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 style="2" customWidth="1"/>
    <col min="2" max="2" width="43"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Q+yd5RQxksWuh5EkdvVG5+Atdt5jhVIpbjxZOz6vRcDeKkuMlvPzYSDbBY8TEQ14X1VIts+roEbv0qQKftgeQ==" saltValue="wRQR65Wn/Z03cA9dzd69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WfDiRwVendkwsUBbDLSTEaQiV8ZN7OH/eqdgJ6otH5DWTYW4BGs/1Oq7mHuDN8IzgWR7oF50Lc+tzld0jNADtw==" saltValue="2aK69SP2QeftAHwEHKcQz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64183733.578499198</v>
      </c>
      <c r="D9" s="8" t="s">
        <v>3</v>
      </c>
      <c r="E9" s="1"/>
    </row>
    <row r="10" spans="1:5" ht="17.25" customHeight="1" x14ac:dyDescent="0.25">
      <c r="A10" s="1"/>
      <c r="B10" s="82" t="s">
        <v>39</v>
      </c>
      <c r="C10" s="7">
        <f>'Fane 11.1. Varige tillæg'!C13</f>
        <v>643348.89480000001</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234709.54146392734</v>
      </c>
      <c r="D16" s="8" t="s">
        <v>3</v>
      </c>
      <c r="E16" s="1"/>
    </row>
    <row r="17" spans="1:5" ht="17.25" customHeight="1" x14ac:dyDescent="0.25">
      <c r="A17" s="1"/>
      <c r="B17" s="82" t="s">
        <v>10</v>
      </c>
      <c r="C17" s="44">
        <f>-SUM(C9,C10:C16)*'Fane 5. Individuelt eff. krav'!G9</f>
        <v>-1301235.8402952624</v>
      </c>
      <c r="D17" s="8" t="s">
        <v>3</v>
      </c>
      <c r="E17" s="1"/>
    </row>
    <row r="18" spans="1:5" ht="17.25" customHeight="1" x14ac:dyDescent="0.25">
      <c r="A18" s="1"/>
      <c r="B18" s="82" t="s">
        <v>24</v>
      </c>
      <c r="C18" s="44">
        <f>-'Fane 4.1. Gen. krav - drift'!G45</f>
        <v>-272165.90270537598</v>
      </c>
      <c r="D18" s="8" t="s">
        <v>3</v>
      </c>
      <c r="E18" s="1"/>
    </row>
    <row r="19" spans="1:5" ht="17.25" customHeight="1" x14ac:dyDescent="0.25">
      <c r="A19" s="1"/>
      <c r="B19" s="82" t="s">
        <v>25</v>
      </c>
      <c r="C19" s="44">
        <f>-'Fane 4.2. Gen. krav - anlæg'!G43</f>
        <v>-829166.79202827928</v>
      </c>
      <c r="D19" s="8" t="s">
        <v>3</v>
      </c>
      <c r="E19" s="48"/>
    </row>
    <row r="20" spans="1:5" ht="17.25" customHeight="1" x14ac:dyDescent="0.25">
      <c r="A20" s="1"/>
      <c r="B20" s="88" t="s">
        <v>21</v>
      </c>
      <c r="C20" s="10">
        <f>SUM(C9:C19)</f>
        <v>62659223.479734205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24888300.659696162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84770.232410802622</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149962</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87782256.371841162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oPTXnB5zqEd9D4/N8jCUbKU6FDJJZWmwatv5o9WEmRTOcXfQAQHR5tHpePUjpwvBnFDs9i64dZa4kCA6fyD4w==" saltValue="nuVoV1Fgb0LSkFtNKtEWE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kSzhxNY9KS2FUzTXmaRut7uVJT/+nQ7JfbBTIDUSsXCI5saFvabQnUD+2i+doOumTRdYTmKQZ9LOoa/Je7ZBdg==" saltValue="i7FimUZQYq3p1/xk+KJXv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62659223.479734205</v>
      </c>
      <c r="D9" s="8" t="s">
        <v>3</v>
      </c>
      <c r="E9" s="1"/>
    </row>
    <row r="10" spans="1:5" ht="15" customHeight="1" x14ac:dyDescent="0.25">
      <c r="A10" s="1"/>
      <c r="B10" s="25" t="s">
        <v>19</v>
      </c>
      <c r="C10" s="7">
        <f>SUM(C9:C9)*'Fane 15. Nøgletal'!C15</f>
        <v>2230668.3558785375</v>
      </c>
      <c r="D10" s="8" t="s">
        <v>3</v>
      </c>
      <c r="E10" s="1"/>
    </row>
    <row r="11" spans="1:5" ht="15" customHeight="1" x14ac:dyDescent="0.25">
      <c r="A11" s="1"/>
      <c r="B11" s="25" t="s">
        <v>10</v>
      </c>
      <c r="C11" s="9">
        <f>-SUM(C9:C10)*'Fane 5. Individuelt eff. krav'!G9</f>
        <v>-1297797.8367122549</v>
      </c>
      <c r="D11" s="8" t="s">
        <v>3</v>
      </c>
      <c r="E11" s="1"/>
    </row>
    <row r="12" spans="1:5" ht="15" customHeight="1" x14ac:dyDescent="0.25">
      <c r="A12" s="1"/>
      <c r="B12" s="25" t="s">
        <v>24</v>
      </c>
      <c r="C12" s="9">
        <f>-'Fane 4.1. Gen. krav - drift'!G53</f>
        <v>-276217.90866485366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63315876.090235636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25774324.163181346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87788.052684627197</v>
      </c>
      <c r="D18" s="11" t="s">
        <v>3</v>
      </c>
      <c r="E18" s="1"/>
    </row>
    <row r="19" spans="1:5" x14ac:dyDescent="0.25">
      <c r="A19" s="1"/>
      <c r="B19" s="32" t="s">
        <v>143</v>
      </c>
      <c r="C19" s="27"/>
      <c r="D19" s="19"/>
      <c r="E19" s="1"/>
    </row>
    <row r="20" spans="1:5" ht="15" customHeight="1" x14ac:dyDescent="0.25">
      <c r="A20" s="1"/>
      <c r="B20" s="30" t="s">
        <v>180</v>
      </c>
      <c r="C20" s="10">
        <f>'Fane 7. Kontrol af ØR2021'!E34</f>
        <v>-1849690.8617786989</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87328297.444322914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zmU7ExNlM3WGAplanzNh17XAbPC2qQITQSFMnBGa0OoMDAJHR1VehQG5Ej/Vu1YexGvvlQQEtZnmRhpk/1axw==" saltValue="JGL3VlXDBzAP4Y/Vb5xmx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63315876.090235636</v>
      </c>
      <c r="D9" s="8" t="s">
        <v>3</v>
      </c>
      <c r="E9" s="1"/>
    </row>
    <row r="10" spans="1:5" ht="15" customHeight="1" x14ac:dyDescent="0.25">
      <c r="A10" s="1"/>
      <c r="B10" s="25" t="s">
        <v>19</v>
      </c>
      <c r="C10" s="7">
        <f>SUM(C9:C9)*'Fane 15. Nøgletal'!C15</f>
        <v>2254045.1888123886</v>
      </c>
      <c r="D10" s="8" t="s">
        <v>3</v>
      </c>
      <c r="E10" s="1"/>
    </row>
    <row r="11" spans="1:5" ht="15" customHeight="1" x14ac:dyDescent="0.25">
      <c r="A11" s="1"/>
      <c r="B11" s="25" t="s">
        <v>10</v>
      </c>
      <c r="C11" s="9">
        <f>-SUM(C9:C10)*'Fane 5. Individuelt eff. krav'!G9</f>
        <v>-1311398.4255809605</v>
      </c>
      <c r="D11" s="8" t="s">
        <v>3</v>
      </c>
      <c r="E11" s="1"/>
    </row>
    <row r="12" spans="1:5" ht="15" customHeight="1" x14ac:dyDescent="0.25">
      <c r="A12" s="1"/>
      <c r="B12" s="25" t="s">
        <v>24</v>
      </c>
      <c r="C12" s="9">
        <f>-'Fane 4.1. Gen. krav - drift'!G58</f>
        <v>-280330.240889056</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63978192.612578005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26691890.103390604</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90913.30736019992</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-1849690.8617786989</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88911305.161550105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n0n1fwhLMRLFtoQdJ08nA504boKDSxD+vCCdlHTsU/tcCIiIb6qqK1h5hJkACVMEDAdXZHMFOH5ndcj1bswGA==" saltValue="T1ZyPnjOg6/6AXL+/tmwS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63978192.612578005</v>
      </c>
      <c r="D9" s="8" t="s">
        <v>3</v>
      </c>
      <c r="E9" s="1"/>
    </row>
    <row r="10" spans="1:5" ht="15" customHeight="1" x14ac:dyDescent="0.25">
      <c r="A10" s="1"/>
      <c r="B10" s="25" t="s">
        <v>19</v>
      </c>
      <c r="C10" s="7">
        <f>SUM(C9:C9)*'Fane 15. Nøgletal'!C15</f>
        <v>2277623.6570077771</v>
      </c>
      <c r="D10" s="8" t="s">
        <v>3</v>
      </c>
      <c r="E10" s="1"/>
    </row>
    <row r="11" spans="1:5" ht="15" customHeight="1" x14ac:dyDescent="0.25">
      <c r="A11" s="1"/>
      <c r="B11" s="25" t="s">
        <v>10</v>
      </c>
      <c r="C11" s="9">
        <f>-SUM(C9:C10)*'Fane 5. Individuelt eff. krav'!G9</f>
        <v>-1325116.3253917156</v>
      </c>
      <c r="D11" s="8" t="s">
        <v>3</v>
      </c>
      <c r="E11" s="1"/>
    </row>
    <row r="12" spans="1:5" ht="15" customHeight="1" x14ac:dyDescent="0.25">
      <c r="A12" s="1"/>
      <c r="B12" s="25" t="s">
        <v>24</v>
      </c>
      <c r="C12" s="9">
        <f>-'Fane 4.1. Gen. krav - drift'!G63</f>
        <v>-284503.79751541227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64646196.146678649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27642121.391071312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94149.821102223053</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-1849690.8617786989</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90532776.497073472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crYN8fKNudsPc9l2rkh5Fzug92GD1eTSkBGxhBlFO7bWqClqqav5l6CqOpjM1PgGW7NKxFw/UNCejHMDuJXzw==" saltValue="pvxu6VmPnIxlSbmtW+W7s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5" t="s">
        <v>192</v>
      </c>
      <c r="C9" s="126"/>
      <c r="D9" s="127"/>
      <c r="E9" s="7">
        <v>64827755.548158661</v>
      </c>
      <c r="F9" s="8" t="s">
        <v>3</v>
      </c>
      <c r="G9" s="1"/>
    </row>
    <row r="10" spans="1:7" ht="15" customHeight="1" x14ac:dyDescent="0.25">
      <c r="A10" s="1"/>
      <c r="B10" s="129" t="s">
        <v>39</v>
      </c>
      <c r="C10" s="130"/>
      <c r="D10" s="131"/>
      <c r="E10" s="7">
        <v>0</v>
      </c>
      <c r="F10" s="8" t="s">
        <v>3</v>
      </c>
      <c r="G10" s="1"/>
    </row>
    <row r="11" spans="1:7" ht="15" customHeight="1" x14ac:dyDescent="0.25">
      <c r="A11" s="1"/>
      <c r="B11" s="129" t="s">
        <v>40</v>
      </c>
      <c r="C11" s="130"/>
      <c r="D11" s="131"/>
      <c r="E11" s="9">
        <v>1571334.3478000001</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219116.99665666357</v>
      </c>
      <c r="F16" s="8" t="s">
        <v>3</v>
      </c>
      <c r="G16" s="1"/>
    </row>
    <row r="17" spans="1:7" ht="15" customHeight="1" x14ac:dyDescent="0.25">
      <c r="A17" s="1"/>
      <c r="B17" s="125" t="s">
        <v>10</v>
      </c>
      <c r="C17" s="126"/>
      <c r="D17" s="127"/>
      <c r="E17" s="9">
        <v>-1332364.1378523065</v>
      </c>
      <c r="F17" s="8" t="s">
        <v>3</v>
      </c>
      <c r="G17" s="1"/>
    </row>
    <row r="18" spans="1:7" ht="15" customHeight="1" x14ac:dyDescent="0.25">
      <c r="A18" s="1"/>
      <c r="B18" s="125" t="s">
        <v>24</v>
      </c>
      <c r="C18" s="126"/>
      <c r="D18" s="127"/>
      <c r="E18" s="9">
        <f>-'Fane 4.1. Gen. krav - drift'!G39</f>
        <v>-263254.5867985427</v>
      </c>
      <c r="F18" s="8" t="s">
        <v>3</v>
      </c>
      <c r="G18" s="1"/>
    </row>
    <row r="19" spans="1:7" ht="15" customHeight="1" x14ac:dyDescent="0.25">
      <c r="A19" s="1"/>
      <c r="B19" s="125" t="s">
        <v>25</v>
      </c>
      <c r="C19" s="126"/>
      <c r="D19" s="127"/>
      <c r="E19" s="9">
        <f>-'Fane 4.2. Gen. krav - anlæg'!G37</f>
        <v>-838854.58946527936</v>
      </c>
      <c r="F19" s="8" t="s">
        <v>3</v>
      </c>
      <c r="G19" s="1"/>
    </row>
    <row r="20" spans="1:7" ht="15" customHeight="1" x14ac:dyDescent="0.25">
      <c r="A20" s="1"/>
      <c r="B20" s="54" t="s">
        <v>21</v>
      </c>
      <c r="C20" s="99"/>
      <c r="D20" s="101"/>
      <c r="E20" s="51">
        <f>SUM(E9:E19)</f>
        <v>64183733.578499198</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23980181.196315885</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78605.798155053155</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106092</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88348612.572970137</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BkvxbHVBxi/XTSjmIA95OkBqb2ZdG41uuGaYPkKxxZDcn8VGQfHXsRE1fBWQWjHQLRwXg4vCoDMLvOKpSfryyA==" saltValue="BbwJbfnITkYa4rXWkezMT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28515625" style="2" customWidth="1"/>
    <col min="2" max="5" width="9.140625" style="2"/>
    <col min="6" max="6" width="26" style="2" customWidth="1"/>
    <col min="7" max="7" width="16.28515625" style="2" customWidth="1"/>
    <col min="8" max="8" width="3.42578125" style="2" customWidth="1"/>
    <col min="9" max="9" width="1.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13442955</v>
      </c>
      <c r="H5" s="14" t="s">
        <v>3</v>
      </c>
      <c r="I5" s="1"/>
    </row>
    <row r="6" spans="1:9" x14ac:dyDescent="0.25">
      <c r="A6" s="1"/>
      <c r="B6" s="125" t="s">
        <v>120</v>
      </c>
      <c r="C6" s="126"/>
      <c r="D6" s="126"/>
      <c r="E6" s="126"/>
      <c r="F6" s="127"/>
      <c r="G6" s="77">
        <v>77095</v>
      </c>
      <c r="H6" s="14" t="s">
        <v>3</v>
      </c>
      <c r="I6" s="1"/>
    </row>
    <row r="7" spans="1:9" x14ac:dyDescent="0.25">
      <c r="A7" s="1"/>
      <c r="B7" s="140" t="s">
        <v>42</v>
      </c>
      <c r="C7" s="141"/>
      <c r="D7" s="141"/>
      <c r="E7" s="141"/>
      <c r="F7" s="142"/>
      <c r="G7" s="76">
        <f>SUM(G5:G6)*'Fane 15. Nøgletal'!C31</f>
        <v>270401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13403073.695</v>
      </c>
      <c r="H11" s="14" t="s">
        <v>3</v>
      </c>
      <c r="I11" s="1"/>
    </row>
    <row r="12" spans="1:9" ht="15" customHeight="1" x14ac:dyDescent="0.25">
      <c r="A12" s="1"/>
      <c r="B12" s="140" t="s">
        <v>121</v>
      </c>
      <c r="C12" s="141"/>
      <c r="D12" s="141"/>
      <c r="E12" s="141"/>
      <c r="F12" s="142"/>
      <c r="G12" s="77">
        <v>-0.48349215713795279</v>
      </c>
      <c r="H12" s="14" t="s">
        <v>3</v>
      </c>
      <c r="I12" s="1"/>
    </row>
    <row r="13" spans="1:9" x14ac:dyDescent="0.25">
      <c r="A13" s="1"/>
      <c r="B13" s="125" t="s">
        <v>118</v>
      </c>
      <c r="C13" s="126"/>
      <c r="D13" s="126"/>
      <c r="E13" s="126"/>
      <c r="F13" s="127"/>
      <c r="G13" s="77">
        <v>78446.197500000009</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269630.38818015688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13363278.072735922</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267265.56145471847</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13354003.957753444</v>
      </c>
      <c r="H25" s="14" t="s">
        <v>3</v>
      </c>
      <c r="I25" s="1"/>
    </row>
    <row r="26" spans="1:9" x14ac:dyDescent="0.25">
      <c r="A26" s="1"/>
      <c r="B26" s="147" t="s">
        <v>50</v>
      </c>
      <c r="C26" s="148"/>
      <c r="D26" s="148"/>
      <c r="E26" s="148"/>
      <c r="F26" s="149"/>
      <c r="G26" s="77">
        <v>6204.41553303</v>
      </c>
      <c r="H26" s="14" t="s">
        <v>3</v>
      </c>
      <c r="I26" s="1"/>
    </row>
    <row r="27" spans="1:9" x14ac:dyDescent="0.25">
      <c r="A27" s="1"/>
      <c r="B27" s="140" t="s">
        <v>51</v>
      </c>
      <c r="C27" s="141"/>
      <c r="D27" s="141"/>
      <c r="E27" s="141"/>
      <c r="F27" s="142"/>
      <c r="G27" s="76">
        <f>(G25+G26)*'Fane 15. Nøgletal'!C31</f>
        <v>267204.16746572952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13350936.388675414</v>
      </c>
      <c r="H31" s="14" t="s">
        <v>3</v>
      </c>
      <c r="I31" s="1"/>
    </row>
    <row r="32" spans="1:9" x14ac:dyDescent="0.25">
      <c r="A32" s="1"/>
      <c r="B32" s="140" t="s">
        <v>137</v>
      </c>
      <c r="C32" s="141"/>
      <c r="D32" s="141"/>
      <c r="E32" s="141"/>
      <c r="F32" s="142"/>
      <c r="G32" s="76">
        <v>36242.390666159998</v>
      </c>
      <c r="H32" s="14" t="s">
        <v>3</v>
      </c>
      <c r="I32" s="1"/>
    </row>
    <row r="33" spans="1:9" x14ac:dyDescent="0.25">
      <c r="A33" s="1"/>
      <c r="B33" s="140" t="s">
        <v>60</v>
      </c>
      <c r="C33" s="141"/>
      <c r="D33" s="141"/>
      <c r="E33" s="141"/>
      <c r="F33" s="142"/>
      <c r="G33" s="76">
        <f>(G31+G32)*'Fane 15. Nøgletal'!C31</f>
        <v>267743.57558683149</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13162729.339927135</v>
      </c>
      <c r="H37" s="14" t="s">
        <v>3</v>
      </c>
      <c r="I37" s="1"/>
    </row>
    <row r="38" spans="1:9" x14ac:dyDescent="0.25">
      <c r="A38" s="1"/>
      <c r="B38" s="140" t="s">
        <v>164</v>
      </c>
      <c r="C38" s="141"/>
      <c r="D38" s="141"/>
      <c r="E38" s="141"/>
      <c r="F38" s="142"/>
      <c r="G38" s="76">
        <v>0</v>
      </c>
      <c r="H38" s="14" t="s">
        <v>3</v>
      </c>
      <c r="I38" s="1"/>
    </row>
    <row r="39" spans="1:9" x14ac:dyDescent="0.25">
      <c r="A39" s="1"/>
      <c r="B39" s="140" t="s">
        <v>162</v>
      </c>
      <c r="C39" s="141"/>
      <c r="D39" s="141"/>
      <c r="E39" s="141"/>
      <c r="F39" s="142"/>
      <c r="G39" s="76">
        <f>(G37+G38)*'Fane 15. Nøgletal'!C31</f>
        <v>263254.5867985427</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12942043.019813918</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666252.11545488006</v>
      </c>
      <c r="H44" s="14" t="s">
        <v>3</v>
      </c>
      <c r="I44" s="1"/>
    </row>
    <row r="45" spans="1:9" x14ac:dyDescent="0.25">
      <c r="A45" s="1"/>
      <c r="B45" s="140" t="s">
        <v>163</v>
      </c>
      <c r="C45" s="141"/>
      <c r="D45" s="141"/>
      <c r="E45" s="141"/>
      <c r="F45" s="142"/>
      <c r="G45" s="76">
        <f>SUM(G43:G44)*'Fane 15. Nøgletal'!C31</f>
        <v>272165.90270537598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13810895.433242682</v>
      </c>
      <c r="H52" s="14" t="s">
        <v>3</v>
      </c>
      <c r="I52" s="1"/>
    </row>
    <row r="53" spans="1:9" x14ac:dyDescent="0.25">
      <c r="A53" s="1"/>
      <c r="B53" s="140" t="s">
        <v>138</v>
      </c>
      <c r="C53" s="141"/>
      <c r="D53" s="141"/>
      <c r="E53" s="141"/>
      <c r="F53" s="142"/>
      <c r="G53" s="76">
        <f>(G52)*'Fane 15. Nøgletal'!C31</f>
        <v>276217.90866485366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14016512.044452799</v>
      </c>
      <c r="H57" s="14" t="s">
        <v>3</v>
      </c>
      <c r="I57" s="1"/>
    </row>
    <row r="58" spans="1:9" x14ac:dyDescent="0.25">
      <c r="A58" s="1"/>
      <c r="B58" s="91" t="s">
        <v>152</v>
      </c>
      <c r="C58" s="92"/>
      <c r="D58" s="92"/>
      <c r="E58" s="92"/>
      <c r="F58" s="93"/>
      <c r="G58" s="76">
        <f>(G57)*'Fane 15. Nøgletal'!C31</f>
        <v>280330.240889056</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14225189.875770614</v>
      </c>
      <c r="H62" s="14" t="s">
        <v>3</v>
      </c>
      <c r="I62" s="1"/>
    </row>
    <row r="63" spans="1:9" x14ac:dyDescent="0.25">
      <c r="A63" s="1"/>
      <c r="B63" s="91" t="s">
        <v>195</v>
      </c>
      <c r="C63" s="92"/>
      <c r="D63" s="92"/>
      <c r="E63" s="92"/>
      <c r="F63" s="93"/>
      <c r="G63" s="76">
        <f>(G62)*'Fane 15. Nøgletal'!C31</f>
        <v>284503.79751541227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gS0657jXNdXDS+XDj8i2z2Dr70dal3d9sryQzhd72qo26J/Efj7fevvrzIifRABz5JwuP+/inHqvtxDraIDaJQ==" saltValue="ZyUuGdskHUEXdf3zW4ez2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7.8554687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42866749</v>
      </c>
      <c r="H5" s="14" t="s">
        <v>3</v>
      </c>
      <c r="I5" s="1"/>
    </row>
    <row r="6" spans="1:9" x14ac:dyDescent="0.25">
      <c r="A6" s="1"/>
      <c r="B6" s="140" t="s">
        <v>57</v>
      </c>
      <c r="C6" s="141"/>
      <c r="D6" s="141"/>
      <c r="E6" s="141"/>
      <c r="F6" s="142"/>
      <c r="G6" s="76">
        <f>G5*'Fane 15. Nøgletal'!C20</f>
        <v>390087.41590000002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43220003.161821753</v>
      </c>
      <c r="H10" s="14" t="s">
        <v>3</v>
      </c>
      <c r="I10" s="1"/>
    </row>
    <row r="11" spans="1:9" x14ac:dyDescent="0.25">
      <c r="A11" s="1"/>
      <c r="B11" s="140" t="s">
        <v>122</v>
      </c>
      <c r="C11" s="141"/>
      <c r="D11" s="141"/>
      <c r="E11" s="141"/>
      <c r="F11" s="142"/>
      <c r="G11" s="76">
        <v>800830.21455622918</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779168.75076189032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43998393.756564379</v>
      </c>
      <c r="H17" s="14" t="s">
        <v>3</v>
      </c>
      <c r="I17" s="1"/>
    </row>
    <row r="18" spans="1:9" x14ac:dyDescent="0.25">
      <c r="A18" s="1"/>
      <c r="B18" s="147" t="s">
        <v>68</v>
      </c>
      <c r="C18" s="148"/>
      <c r="D18" s="148"/>
      <c r="E18" s="148"/>
      <c r="F18" s="149"/>
      <c r="G18" s="76">
        <v>6847650.3628303083</v>
      </c>
      <c r="H18" s="14" t="s">
        <v>3</v>
      </c>
      <c r="I18" s="1"/>
    </row>
    <row r="19" spans="1:9" x14ac:dyDescent="0.25">
      <c r="A19" s="1"/>
      <c r="B19" s="140" t="s">
        <v>69</v>
      </c>
      <c r="C19" s="141"/>
      <c r="D19" s="141"/>
      <c r="E19" s="141"/>
      <c r="F19" s="142"/>
      <c r="G19" s="76">
        <f>G17*'Fane 15. Nøgletal'!C21+G18*'Fane 15. Nøgletal'!C22</f>
        <v>838346.12764781318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50992849.642184295</v>
      </c>
      <c r="H23" s="14" t="s">
        <v>3</v>
      </c>
      <c r="I23" s="1"/>
    </row>
    <row r="24" spans="1:9" x14ac:dyDescent="0.25">
      <c r="A24" s="1"/>
      <c r="B24" s="147" t="s">
        <v>72</v>
      </c>
      <c r="C24" s="148"/>
      <c r="D24" s="148"/>
      <c r="E24" s="148"/>
      <c r="F24" s="149"/>
      <c r="G24" s="76">
        <v>3635051.2769324956</v>
      </c>
      <c r="H24" s="14" t="s">
        <v>3</v>
      </c>
      <c r="I24" s="1"/>
    </row>
    <row r="25" spans="1:9" x14ac:dyDescent="0.25">
      <c r="A25" s="1"/>
      <c r="B25" s="140" t="s">
        <v>73</v>
      </c>
      <c r="C25" s="141"/>
      <c r="D25" s="141"/>
      <c r="E25" s="141"/>
      <c r="F25" s="142"/>
      <c r="G25" s="76">
        <f>(G23+G24)*'Fane 15. Nøgletal'!C23</f>
        <v>1551432.3861029169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54122074.963114247</v>
      </c>
      <c r="H29" s="14" t="s">
        <v>3</v>
      </c>
      <c r="I29" s="1"/>
    </row>
    <row r="30" spans="1:9" x14ac:dyDescent="0.25">
      <c r="A30" s="1"/>
      <c r="B30" s="140" t="s">
        <v>139</v>
      </c>
      <c r="C30" s="141"/>
      <c r="D30" s="141"/>
      <c r="E30" s="141"/>
      <c r="F30" s="142"/>
      <c r="G30" s="76">
        <v>2402668.46013516</v>
      </c>
      <c r="H30" s="14" t="s">
        <v>3</v>
      </c>
      <c r="I30" s="1"/>
    </row>
    <row r="31" spans="1:9" x14ac:dyDescent="0.25">
      <c r="A31" s="1"/>
      <c r="B31" s="140" t="s">
        <v>76</v>
      </c>
      <c r="C31" s="141"/>
      <c r="D31" s="141"/>
      <c r="E31" s="141"/>
      <c r="F31" s="142"/>
      <c r="G31" s="76">
        <f>G29*'Fane 15. Nøgletal'!C23+G30*'Fane 15. Nøgletal'!C24</f>
        <v>1603140.3116061618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55102844.401911676</v>
      </c>
      <c r="H35" s="14" t="s">
        <v>3</v>
      </c>
      <c r="I35" s="1"/>
    </row>
    <row r="36" spans="1:9" x14ac:dyDescent="0.25">
      <c r="A36" s="1"/>
      <c r="B36" s="140" t="s">
        <v>167</v>
      </c>
      <c r="C36" s="141"/>
      <c r="D36" s="141"/>
      <c r="E36" s="141"/>
      <c r="F36" s="142"/>
      <c r="G36" s="76">
        <v>1576519.7511477403</v>
      </c>
      <c r="H36" s="14" t="s">
        <v>3</v>
      </c>
      <c r="I36" s="1"/>
    </row>
    <row r="37" spans="1:9" x14ac:dyDescent="0.25">
      <c r="A37" s="1"/>
      <c r="B37" s="140" t="s">
        <v>166</v>
      </c>
      <c r="C37" s="141"/>
      <c r="D37" s="141"/>
      <c r="E37" s="141"/>
      <c r="F37" s="142"/>
      <c r="G37" s="76">
        <f>(G35+G36)*'Fane 15. Nøgletal'!C25</f>
        <v>838854.58946527936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56024783.245154001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0" t="s">
        <v>168</v>
      </c>
      <c r="C43" s="141"/>
      <c r="D43" s="141"/>
      <c r="E43" s="141"/>
      <c r="F43" s="142"/>
      <c r="G43" s="76">
        <f>(G41)*'Fane 15. Nøgletal'!C25+G42*'Fane 15. Nøgletal'!C26</f>
        <v>829166.79202827928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57160580.398857005</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59195497.061056316</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61302856.756429926</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NdeCOYwe68RtuUw/3Vsv+clb5EqxGafVcgLHQYXEOFAxhbu+qImM9nhpTW9ShQdF5b7y4qKqsQe1FGB5++JYkg==" saltValue="ES2N5KvoHwtPrspHZM16m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0.02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5ibkBMwE4omlTe0R++zcBVu/pGhmyOJuH/wCI0LBE7AdQY+vos0+d+5zjBCGYmvrG7nG6lWFdO4s7h9z0XIipw==" saltValue="G5ak/WqsFNOvizxROgvfu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2022-12-01T08:47:57Z</dcterms:modified>
</cp:coreProperties>
</file>