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Energi Viborg Vand AS (V043)\ØR2024\"/>
    </mc:Choice>
  </mc:AlternateContent>
  <xr:revisionPtr revIDLastSave="0" documentId="13_ncr:1_{3428AE17-5F50-40B6-96D1-3ECB8571A832}"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31" i="41" l="1"/>
  <c r="E33" i="41" s="1"/>
  <c r="E27" i="4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<sst xmlns="http://schemas.openxmlformats.org/spreadsheetml/2006/main" count="548" uniqueCount="261">
  <si>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</si>
  <si>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</si>
  <si>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</si>
  <si>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</si>
  <si>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</si>
  <si>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</si>
  <si>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</si>
  <si>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</si>
  <si>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</si>
  <si>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</si>
  <si>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</si>
  <si>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</si>
  <si>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</si>
  <si>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</si>
  <si>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</si>
  <si>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</si>
  <si>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</si>
  <si>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</si>
  <si>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</si>
  <si>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</si>
  <si>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</si>
  <si>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</si>
  <si>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</si>
  <si>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</si>
  <si>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</si>
  <si>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</si>
  <si>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</si>
  <si>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</si>
  <si>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</si>
  <si>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</si>
  <si>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</si>
  <si>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</si>
  <si>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</si>
  <si>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</si>
  <si>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</si>
  <si>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</si>
  <si>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</si>
  <si>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</si>
  <si>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</si>
  <si>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</si>
  <si>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</si>
  <si>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</si>
  <si>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</si>
  <si>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</si>
  <si>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</si>
  <si>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</si>
  <si>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</si>
  <si>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</si>
  <si>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</si>
  <si>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</si>
  <si>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</si>
  <si>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</si>
  <si>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</si>
  <si>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</si>
  <si>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</si>
  <si>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</si>
  <si>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</si>
  <si>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</si>
  <si>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</si>
  <si>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</si>
  <si>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</si>
  <si>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</si>
  <si>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</si>
  <si>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</si>
  <si>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</si>
  <si>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</si>
  <si>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</si>
  <si>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</si>
  <si>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</si>
  <si>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</si>
  <si>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</si>
  <si>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</si>
  <si>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</si>
  <si>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</si>
  <si>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</si>
  <si>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</si>
  <si>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</si>
  <si>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</si>
  <si>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</si>
  <si>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</si>
  <si>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</si>
  <si>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</si>
  <si>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</si>
  <si>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</si>
  <si>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</si>
  <si>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</si>
  <si>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</si>
  <si>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</si>
  <si>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</si>
  <si>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</si>
  <si>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</si>
  <si>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</si>
  <si>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</si>
  <si>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</si>
  <si>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</si>
  <si>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</si>
  <si>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</si>
  <si>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</si>
  <si>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</si>
  <si>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</si>
  <si>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</si>
  <si>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</si>
  <si>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</si>
  <si>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</si>
  <si>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</si>
  <si>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</si>
  <si>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</si>
  <si>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</si>
  <si>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</si>
  <si>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</si>
  <si>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</si>
  <si>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</si>
  <si>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</si>
  <si>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</si>
  <si>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</si>
  <si>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</si>
  <si>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</si>
  <si>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</si>
  <si>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</si>
  <si>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</si>
  <si>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</si>
  <si>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</si>
  <si>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</si>
  <si>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</si>
  <si>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</si>
  <si>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</si>
  <si>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</si>
  <si>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</si>
  <si>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</si>
  <si>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</si>
  <si>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</si>
  <si>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</si>
  <si>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</si>
  <si>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</si>
  <si>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</si>
  <si>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</si>
  <si>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</si>
  <si>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</si>
  <si>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</si>
  <si>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</si>
  <si>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</si>
  <si>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</si>
  <si>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</si>
  <si>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</si>
  <si>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</si>
  <si>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</si>
  <si>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</si>
  <si>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</si>
  <si>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</si>
  <si>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</si>
  <si>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</si>
  <si>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</si>
  <si>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</si>
  <si>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</si>
  <si>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</si>
  <si>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</si>
  <si>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</si>
  <si>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</si>
  <si>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</si>
  <si>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</si>
  <si>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</si>
  <si>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</si>
  <si>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</si>
  <si>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</si>
  <si>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</si>
  <si>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</si>
  <si>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</si>
  <si>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</si>
  <si>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</si>
  <si>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</si>
  <si>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</si>
  <si>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</si>
  <si>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</si>
  <si>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</si>
  <si>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</si>
  <si>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</si>
  <si>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</si>
  <si>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</si>
  <si>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</si>
  <si>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</si>
  <si>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</si>
  <si>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</si>
  <si>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</si>
  <si>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</si>
  <si>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</si>
  <si>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</si>
  <si>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</si>
  <si>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</si>
  <si>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</si>
  <si>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</si>
  <si>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</si>
  <si>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</si>
  <si>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</si>
  <si>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</si>
  <si>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</si>
  <si>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</si>
  <si>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</si>
  <si>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</si>
  <si>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</si>
  <si>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</si>
  <si>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</si>
  <si>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</si>
  <si>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</si>
  <si>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</si>
  <si>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</si>
  <si>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</si>
  <si>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</si>
  <si>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</si>
  <si>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</si>
  <si>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</si>
  <si>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</si>
  <si>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</si>
  <si>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</si>
  <si>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</si>
  <si>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</si>
  <si>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</si>
  <si>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</si>
  <si>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</si>
  <si>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</si>
  <si>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</si>
  <si>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</si>
  <si>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</si>
  <si>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</si>
  <si>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</si>
  <si>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</si>
  <si>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</si>
  <si>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</si>
  <si>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</si>
  <si>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</si>
  <si>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</si>
  <si>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</si>
  <si>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</si>
  <si>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</si>
  <si>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</si>
  <si>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</si>
  <si>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</si>
  <si>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</si>
  <si>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</si>
  <si>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</si>
  <si>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</si>
  <si>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</si>
  <si>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</si>
  <si>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</si>
  <si>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Udvidelse af forsyningsområde</t>
  </si>
  <si>
    <t>Afgift for ledningsført vand</t>
  </si>
  <si>
    <t>Afgift til Forsyningssekretariatet</t>
  </si>
  <si>
    <t>Ejendomsskat</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</si>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</sst>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sheetData sheetId="3">
        <row r="3">
          <cell r="A3" t="str">
            <v>S016</v>
          </cell>
        </row>
      </sheetData>
      <sheetData sheetId="4">
        <row r="3">
          <cell r="A3" t="str">
            <v>S016</v>
          </cell>
        </row>
      </sheetData>
      <sheetData sheetId="5">
        <row r="3">
          <cell r="A3" t="str">
            <v>S016</v>
          </cell>
        </row>
      </sheetData>
      <sheetData sheetId="6">
        <row r="1">
          <cell r="A1" t="str">
            <v>ØR 2019-2022 samt statusmeddelelser</v>
          </cell>
        </row>
      </sheetData>
      <sheetData sheetId="7">
        <row r="1">
          <cell r="A1"/>
        </row>
      </sheetData>
      <sheetData sheetId="8">
        <row r="1">
          <cell r="A1" t="str">
            <v>AABBABAABBB[</v>
          </cell>
        </row>
      </sheetData>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235</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162</v>
      </c>
      <c r="E13" s="86"/>
      <c r="F13" s="86"/>
      <c r="G13" s="87"/>
      <c r="H13" s="1"/>
      <c r="I13" s="1"/>
    </row>
    <row r="14" spans="1:9" x14ac:dyDescent="0.25">
      <c r="A14" s="1"/>
      <c r="B14" s="1"/>
      <c r="C14" s="6" t="s">
        <v>14</v>
      </c>
      <c r="D14" s="85" t="s">
        <v>197</v>
      </c>
      <c r="E14" s="86"/>
      <c r="F14" s="86"/>
      <c r="G14" s="87"/>
      <c r="H14" s="1"/>
      <c r="I14" s="1"/>
    </row>
    <row r="15" spans="1:9" x14ac:dyDescent="0.25">
      <c r="A15" s="1"/>
      <c r="B15" s="1"/>
      <c r="C15" s="6" t="s">
        <v>30</v>
      </c>
      <c r="D15" s="85" t="s">
        <v>141</v>
      </c>
      <c r="E15" s="86"/>
      <c r="F15" s="86"/>
      <c r="G15" s="87"/>
      <c r="H15" s="1"/>
      <c r="I15" s="1"/>
    </row>
    <row r="16" spans="1:9" x14ac:dyDescent="0.25">
      <c r="A16" s="1"/>
      <c r="B16" s="1"/>
      <c r="C16" s="6" t="s">
        <v>31</v>
      </c>
      <c r="D16" s="85" t="s">
        <v>194</v>
      </c>
      <c r="E16" s="86"/>
      <c r="F16" s="86"/>
      <c r="G16" s="87"/>
      <c r="H16" s="1"/>
      <c r="I16" s="1"/>
    </row>
    <row r="17" spans="1:9" x14ac:dyDescent="0.25">
      <c r="A17" s="1"/>
      <c r="B17" s="1"/>
      <c r="C17" s="6" t="s">
        <v>102</v>
      </c>
      <c r="D17" s="85" t="s">
        <v>195</v>
      </c>
      <c r="E17" s="86"/>
      <c r="F17" s="86"/>
      <c r="G17" s="87"/>
      <c r="H17" s="1"/>
      <c r="I17" s="1"/>
    </row>
    <row r="18" spans="1:9" x14ac:dyDescent="0.25">
      <c r="A18" s="1"/>
      <c r="B18" s="1"/>
      <c r="C18" s="6" t="s">
        <v>86</v>
      </c>
      <c r="D18" s="91" t="s">
        <v>79</v>
      </c>
      <c r="E18" s="92"/>
      <c r="F18" s="92"/>
      <c r="G18" s="93"/>
      <c r="H18" s="1"/>
      <c r="I18" s="1"/>
    </row>
    <row r="19" spans="1:9" x14ac:dyDescent="0.25">
      <c r="A19" s="1"/>
      <c r="B19" s="1"/>
      <c r="C19" s="6" t="s">
        <v>87</v>
      </c>
      <c r="D19" s="91" t="s">
        <v>80</v>
      </c>
      <c r="E19" s="92"/>
      <c r="F19" s="92"/>
      <c r="G19" s="93"/>
      <c r="H19" s="1"/>
      <c r="I19" s="1"/>
    </row>
    <row r="20" spans="1:9" x14ac:dyDescent="0.25">
      <c r="A20" s="1"/>
      <c r="B20" s="1"/>
      <c r="C20" s="6" t="s">
        <v>7</v>
      </c>
      <c r="D20" s="91" t="s">
        <v>9</v>
      </c>
      <c r="E20" s="92"/>
      <c r="F20" s="92"/>
      <c r="G20" s="93"/>
      <c r="H20" s="1"/>
      <c r="I20" s="1"/>
    </row>
    <row r="21" spans="1:9" x14ac:dyDescent="0.25">
      <c r="A21" s="1"/>
      <c r="B21" s="1"/>
      <c r="C21" s="6" t="s">
        <v>88</v>
      </c>
      <c r="D21" s="82" t="s">
        <v>11</v>
      </c>
      <c r="E21" s="83"/>
      <c r="F21" s="83"/>
      <c r="G21" s="84"/>
      <c r="H21" s="1"/>
      <c r="I21" s="1"/>
    </row>
    <row r="22" spans="1:9" x14ac:dyDescent="0.25">
      <c r="A22" s="1"/>
      <c r="B22" s="1"/>
      <c r="C22" s="6" t="s">
        <v>73</v>
      </c>
      <c r="D22" s="76" t="s">
        <v>196</v>
      </c>
      <c r="E22" s="77"/>
      <c r="F22" s="77"/>
      <c r="G22" s="78"/>
      <c r="H22" s="1"/>
      <c r="I22" s="1"/>
    </row>
    <row r="23" spans="1:9" x14ac:dyDescent="0.25">
      <c r="A23" s="1"/>
      <c r="B23" s="1"/>
      <c r="C23" s="6" t="s">
        <v>8</v>
      </c>
      <c r="D23" s="76" t="s">
        <v>176</v>
      </c>
      <c r="E23" s="77"/>
      <c r="F23" s="77"/>
      <c r="G23" s="78"/>
      <c r="H23" s="1"/>
      <c r="I23" s="1"/>
    </row>
    <row r="24" spans="1:9" x14ac:dyDescent="0.25">
      <c r="A24" s="1"/>
      <c r="B24" s="1"/>
      <c r="C24" s="6" t="s">
        <v>172</v>
      </c>
      <c r="D24" s="76" t="s">
        <v>163</v>
      </c>
      <c r="E24" s="77"/>
      <c r="F24" s="77"/>
      <c r="G24" s="78"/>
      <c r="H24" s="1"/>
      <c r="I24" s="1"/>
    </row>
    <row r="25" spans="1:9" x14ac:dyDescent="0.25">
      <c r="A25" s="1"/>
      <c r="B25" s="1"/>
      <c r="C25" s="6" t="s">
        <v>173</v>
      </c>
      <c r="D25" s="76" t="s">
        <v>74</v>
      </c>
      <c r="E25" s="77"/>
      <c r="F25" s="77"/>
      <c r="G25" s="78"/>
      <c r="H25" s="1"/>
      <c r="I25" s="1"/>
    </row>
    <row r="26" spans="1:9" x14ac:dyDescent="0.25">
      <c r="A26" s="1"/>
      <c r="B26" s="1"/>
      <c r="C26" s="6" t="s">
        <v>174</v>
      </c>
      <c r="D26" s="76" t="s">
        <v>75</v>
      </c>
      <c r="E26" s="77"/>
      <c r="F26" s="77"/>
      <c r="G26" s="78"/>
      <c r="H26" s="1"/>
      <c r="I26" s="1"/>
    </row>
    <row r="27" spans="1:9" x14ac:dyDescent="0.25">
      <c r="A27" s="1"/>
      <c r="B27" s="1"/>
      <c r="C27" s="6" t="s">
        <v>89</v>
      </c>
      <c r="D27" s="76" t="s">
        <v>103</v>
      </c>
      <c r="E27" s="77"/>
      <c r="F27" s="77"/>
      <c r="G27" s="78"/>
      <c r="H27" s="1"/>
      <c r="I27" s="1"/>
    </row>
    <row r="28" spans="1:9" x14ac:dyDescent="0.25">
      <c r="A28" s="1"/>
      <c r="B28" s="1"/>
      <c r="C28" s="6" t="s">
        <v>83</v>
      </c>
      <c r="D28" s="76" t="s">
        <v>32</v>
      </c>
      <c r="E28" s="77"/>
      <c r="F28" s="77"/>
      <c r="G28" s="78"/>
      <c r="H28" s="1"/>
      <c r="I28" s="1"/>
    </row>
    <row r="29" spans="1:9" x14ac:dyDescent="0.25">
      <c r="A29" s="1"/>
      <c r="B29" s="1"/>
      <c r="C29" s="6" t="s">
        <v>175</v>
      </c>
      <c r="D29" s="79" t="s">
        <v>84</v>
      </c>
      <c r="E29" s="80"/>
      <c r="F29" s="80"/>
      <c r="G29" s="8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j//lpqM8Z6BEZBDfh0zmxr4JdKtB3t2/cWFlAK3w3MnMU2sTZqy++j/qbBF3V39kELkvTWFkbxaVWag0StZkqQ==" saltValue="mgd30Tb+GI1bVCBI9tyGl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8" t="s">
        <v>226</v>
      </c>
      <c r="C8" s="99"/>
      <c r="D8" s="100"/>
      <c r="E8" s="1"/>
      <c r="F8" s="1"/>
    </row>
    <row r="9" spans="1:6" ht="15" customHeight="1" x14ac:dyDescent="0.25">
      <c r="A9" s="1"/>
      <c r="B9" s="32" t="s">
        <v>28</v>
      </c>
      <c r="C9" s="11" t="s">
        <v>212</v>
      </c>
      <c r="D9" s="11"/>
      <c r="E9" s="1"/>
      <c r="F9" s="1"/>
    </row>
    <row r="10" spans="1:6" ht="15" customHeight="1" x14ac:dyDescent="0.25">
      <c r="A10" s="1"/>
      <c r="B10" s="65" t="s">
        <v>244</v>
      </c>
      <c r="C10" s="9">
        <v>14167286</v>
      </c>
      <c r="D10" s="14" t="s">
        <v>3</v>
      </c>
      <c r="E10" s="1"/>
      <c r="F10" s="1"/>
    </row>
    <row r="11" spans="1:6" x14ac:dyDescent="0.25">
      <c r="A11" s="1"/>
      <c r="B11" s="65" t="s">
        <v>245</v>
      </c>
      <c r="C11" s="9">
        <v>88623</v>
      </c>
      <c r="D11" s="14" t="s">
        <v>3</v>
      </c>
      <c r="E11" s="1"/>
      <c r="F11" s="1"/>
    </row>
    <row r="12" spans="1:6" x14ac:dyDescent="0.25">
      <c r="A12" s="1"/>
      <c r="B12" s="65" t="s">
        <v>246</v>
      </c>
      <c r="C12" s="9">
        <v>67107</v>
      </c>
      <c r="D12" s="14" t="s">
        <v>3</v>
      </c>
      <c r="E12" s="1"/>
      <c r="F12" s="1"/>
    </row>
    <row r="13" spans="1:6" x14ac:dyDescent="0.25">
      <c r="A13" s="1"/>
      <c r="B13" s="65"/>
      <c r="C13" s="9"/>
      <c r="D13" s="14" t="s">
        <v>3</v>
      </c>
      <c r="E13" s="1"/>
      <c r="F13" s="1"/>
    </row>
    <row r="14" spans="1:6" x14ac:dyDescent="0.25">
      <c r="A14" s="1"/>
      <c r="B14" s="65"/>
      <c r="C14" s="9"/>
      <c r="D14" s="14" t="s">
        <v>3</v>
      </c>
      <c r="E14" s="1"/>
      <c r="F14" s="1"/>
    </row>
    <row r="15" spans="1:6" x14ac:dyDescent="0.25">
      <c r="A15" s="1"/>
      <c r="B15" s="65"/>
      <c r="C15" s="9"/>
      <c r="D15" s="14" t="s">
        <v>3</v>
      </c>
      <c r="E15" s="1"/>
      <c r="F15" s="1"/>
    </row>
    <row r="16" spans="1:6" x14ac:dyDescent="0.25">
      <c r="A16" s="1"/>
      <c r="B16" s="65"/>
      <c r="C16" s="9"/>
      <c r="D16" s="14" t="s">
        <v>3</v>
      </c>
      <c r="E16" s="1"/>
      <c r="F16" s="1"/>
    </row>
    <row r="17" spans="1:6" x14ac:dyDescent="0.25">
      <c r="A17" s="1"/>
      <c r="B17" s="65"/>
      <c r="C17" s="9"/>
      <c r="D17" s="14" t="s">
        <v>3</v>
      </c>
      <c r="E17" s="1"/>
      <c r="F17" s="1"/>
    </row>
    <row r="18" spans="1:6" x14ac:dyDescent="0.25">
      <c r="A18" s="1"/>
      <c r="B18" s="65"/>
      <c r="C18" s="9"/>
      <c r="D18" s="14" t="s">
        <v>3</v>
      </c>
      <c r="E18" s="1"/>
      <c r="F18" s="1"/>
    </row>
    <row r="19" spans="1:6" x14ac:dyDescent="0.25">
      <c r="A19" s="1"/>
      <c r="B19" s="52" t="s">
        <v>213</v>
      </c>
      <c r="C19" s="12">
        <f>SUM(C10:C18)</f>
        <v>14323016</v>
      </c>
      <c r="D19" s="13" t="s">
        <v>3</v>
      </c>
      <c r="E19" s="1"/>
      <c r="F19" s="1"/>
    </row>
    <row r="20" spans="1:6" x14ac:dyDescent="0.25">
      <c r="A20" s="1"/>
      <c r="B20" s="52" t="s">
        <v>214</v>
      </c>
      <c r="C20" s="12">
        <f>C19*(1+'Fane 13. Nøgletal'!C16)^2</f>
        <v>16731125.200778238</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jqISa5U1AeBAxSTW+z5ZPaEKIMeDOsYpvNXYwvmAhbEGU+/mHqlWTNOtXrwHj1FEFex1TEh5mZaDZVdVdYC48Q==" saltValue="7aLuWXllDRYWbeacxJnbP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4.85546875" style="2" customWidth="1"/>
    <col min="5" max="5" width="12.28515625" style="2" bestFit="1" customWidth="1"/>
    <col min="6" max="6" width="3" style="2" customWidth="1"/>
    <col min="7" max="7" width="4.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98" t="s">
        <v>248</v>
      </c>
      <c r="C8" s="99"/>
      <c r="D8" s="99"/>
      <c r="E8" s="99"/>
      <c r="F8" s="100"/>
      <c r="G8" s="1"/>
    </row>
    <row r="9" spans="1:7" x14ac:dyDescent="0.25">
      <c r="A9" s="1"/>
      <c r="B9" s="101" t="s">
        <v>249</v>
      </c>
      <c r="C9" s="102"/>
      <c r="D9" s="103"/>
      <c r="E9" s="28">
        <v>-182240.29568982124</v>
      </c>
      <c r="F9" s="14" t="s">
        <v>3</v>
      </c>
      <c r="G9" s="1"/>
    </row>
    <row r="10" spans="1:7" x14ac:dyDescent="0.25">
      <c r="A10" s="1"/>
      <c r="B10" s="52"/>
      <c r="C10" s="53"/>
      <c r="D10" s="53"/>
      <c r="E10" s="53"/>
      <c r="F10" s="19"/>
      <c r="G10" s="1"/>
    </row>
    <row r="11" spans="1:7" ht="52.5" customHeight="1" x14ac:dyDescent="0.25">
      <c r="A11" s="1"/>
      <c r="B11" s="116" t="s">
        <v>250</v>
      </c>
      <c r="C11" s="117"/>
      <c r="D11" s="117"/>
      <c r="E11" s="117"/>
      <c r="F11" s="118"/>
      <c r="G11" s="1"/>
    </row>
    <row r="12" spans="1:7" x14ac:dyDescent="0.25">
      <c r="A12" s="1"/>
      <c r="B12" s="1"/>
      <c r="C12" s="1"/>
      <c r="D12" s="1"/>
      <c r="E12" s="1"/>
      <c r="F12" s="1"/>
      <c r="G12" s="1"/>
    </row>
    <row r="13" spans="1:7" x14ac:dyDescent="0.25">
      <c r="A13" s="1"/>
      <c r="B13" s="98" t="s">
        <v>140</v>
      </c>
      <c r="C13" s="99"/>
      <c r="D13" s="99"/>
      <c r="E13" s="99"/>
      <c r="F13" s="100"/>
      <c r="G13" s="1"/>
    </row>
    <row r="14" spans="1:7" x14ac:dyDescent="0.25">
      <c r="A14" s="1"/>
      <c r="B14" s="101" t="s">
        <v>251</v>
      </c>
      <c r="C14" s="102"/>
      <c r="D14" s="103"/>
      <c r="E14" s="9">
        <v>0</v>
      </c>
      <c r="F14" s="14" t="s">
        <v>3</v>
      </c>
      <c r="G14" s="1"/>
    </row>
    <row r="15" spans="1:7" x14ac:dyDescent="0.25">
      <c r="A15" s="1"/>
      <c r="B15" s="101" t="s">
        <v>252</v>
      </c>
      <c r="C15" s="102"/>
      <c r="D15" s="103"/>
      <c r="E15" s="9">
        <v>0</v>
      </c>
      <c r="F15" s="14" t="s">
        <v>3</v>
      </c>
      <c r="G15" s="1"/>
    </row>
    <row r="16" spans="1:7" x14ac:dyDescent="0.25">
      <c r="A16" s="1"/>
      <c r="B16" s="52"/>
      <c r="C16" s="53"/>
      <c r="D16" s="53"/>
      <c r="E16" s="53"/>
      <c r="F16" s="19"/>
      <c r="G16" s="1"/>
    </row>
    <row r="17" spans="1:7" ht="30.75" customHeight="1" x14ac:dyDescent="0.25">
      <c r="A17" s="1"/>
      <c r="B17" s="116" t="s">
        <v>253</v>
      </c>
      <c r="C17" s="117"/>
      <c r="D17" s="117"/>
      <c r="E17" s="117"/>
      <c r="F17" s="118"/>
      <c r="G17" s="1"/>
    </row>
    <row r="18" spans="1:7" x14ac:dyDescent="0.25">
      <c r="A18" s="1"/>
      <c r="B18" s="1"/>
      <c r="C18" s="1"/>
      <c r="D18" s="1"/>
      <c r="E18" s="1"/>
      <c r="F18" s="1"/>
      <c r="G18" s="1"/>
    </row>
    <row r="19" spans="1:7" x14ac:dyDescent="0.25">
      <c r="A19" s="1"/>
      <c r="B19" s="66" t="s">
        <v>254</v>
      </c>
      <c r="C19" s="67"/>
      <c r="D19" s="67"/>
      <c r="E19" s="67"/>
      <c r="F19" s="68"/>
      <c r="G19" s="1"/>
    </row>
    <row r="20" spans="1:7" x14ac:dyDescent="0.25">
      <c r="A20" s="1"/>
      <c r="B20" s="62" t="s">
        <v>255</v>
      </c>
      <c r="C20" s="63"/>
      <c r="D20" s="64"/>
      <c r="E20" s="9">
        <v>39321252.65072488</v>
      </c>
      <c r="F20" s="14" t="s">
        <v>3</v>
      </c>
      <c r="G20" s="1"/>
    </row>
    <row r="21" spans="1:7" x14ac:dyDescent="0.25">
      <c r="A21" s="1"/>
      <c r="B21" s="62" t="s">
        <v>256</v>
      </c>
      <c r="C21" s="63"/>
      <c r="D21" s="64"/>
      <c r="E21" s="9">
        <v>38820302</v>
      </c>
      <c r="F21" s="14" t="s">
        <v>3</v>
      </c>
      <c r="G21" s="1"/>
    </row>
    <row r="22" spans="1:7" x14ac:dyDescent="0.25">
      <c r="A22" s="1"/>
      <c r="B22" s="62" t="s">
        <v>29</v>
      </c>
      <c r="C22" s="63"/>
      <c r="D22" s="64"/>
      <c r="E22" s="9">
        <v>0</v>
      </c>
      <c r="F22" s="14" t="s">
        <v>3</v>
      </c>
      <c r="G22" s="1"/>
    </row>
    <row r="23" spans="1:7" x14ac:dyDescent="0.25">
      <c r="A23" s="1"/>
      <c r="B23" s="70" t="s">
        <v>257</v>
      </c>
      <c r="C23" s="71"/>
      <c r="D23" s="72"/>
      <c r="E23" s="10">
        <f>E20-(E21-E22)</f>
        <v>500950.6507248804</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98" t="s">
        <v>258</v>
      </c>
      <c r="C26" s="99"/>
      <c r="D26" s="99"/>
      <c r="E26" s="99"/>
      <c r="F26" s="100"/>
      <c r="G26" s="1"/>
    </row>
    <row r="27" spans="1:7" x14ac:dyDescent="0.25">
      <c r="A27" s="1"/>
      <c r="B27" s="123" t="s">
        <v>259</v>
      </c>
      <c r="C27" s="124"/>
      <c r="D27" s="125"/>
      <c r="E27" s="59">
        <f>IF(AND(E15&lt;0,E23&gt;0,ABS(SUM(E14:E15))&lt;E23),ABS(E14),IF(AND(E15&lt;0,E23&gt;0,ABS(SUM(E14:E15))&gt;E23),SUM(E14,E23),0))</f>
        <v>0</v>
      </c>
      <c r="F27" s="17" t="s">
        <v>3</v>
      </c>
      <c r="G27" s="1"/>
    </row>
    <row r="28" spans="1:7" x14ac:dyDescent="0.25">
      <c r="A28" s="1"/>
      <c r="B28" s="98"/>
      <c r="C28" s="99"/>
      <c r="D28" s="99"/>
      <c r="E28" s="99"/>
      <c r="F28" s="100"/>
      <c r="G28" s="1"/>
    </row>
    <row r="29" spans="1:7" x14ac:dyDescent="0.25">
      <c r="A29" s="1"/>
      <c r="B29" s="1"/>
      <c r="C29" s="1"/>
      <c r="D29" s="1"/>
      <c r="E29" s="1"/>
      <c r="F29" s="1"/>
      <c r="G29" s="1"/>
    </row>
    <row r="30" spans="1:7" x14ac:dyDescent="0.25">
      <c r="A30" s="1"/>
      <c r="B30" s="98" t="s">
        <v>260</v>
      </c>
      <c r="C30" s="99"/>
      <c r="D30" s="99"/>
      <c r="E30" s="99"/>
      <c r="F30" s="100"/>
      <c r="G30" s="1"/>
    </row>
    <row r="31" spans="1:7" x14ac:dyDescent="0.25">
      <c r="A31" s="1"/>
      <c r="B31" s="126" t="s">
        <v>117</v>
      </c>
      <c r="C31" s="127"/>
      <c r="D31" s="128"/>
      <c r="E31" s="60">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9" t="s">
        <v>116</v>
      </c>
      <c r="C33" s="119"/>
      <c r="D33" s="119"/>
      <c r="E33" s="59">
        <f>E31/E32</f>
        <v>0</v>
      </c>
      <c r="F33" s="17" t="s">
        <v>3</v>
      </c>
      <c r="G33" s="1"/>
    </row>
    <row r="34" spans="1:7" x14ac:dyDescent="0.25">
      <c r="A34" s="1"/>
      <c r="B34" s="120"/>
      <c r="C34" s="121"/>
      <c r="D34" s="121"/>
      <c r="E34" s="121"/>
      <c r="F34" s="12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emfjuy/P4fsozZcNXfI818XxYyjLl96/gNoVW07Rjzzrwaox+dsiWxiaXNOki1HYUAQqkDsbkfiJFaMUcIRWDw==" saltValue="AwPTBozaJOpSbCxp8BqhEQ=="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8" t="s">
        <v>184</v>
      </c>
      <c r="C8" s="99"/>
      <c r="D8" s="99"/>
      <c r="E8" s="99"/>
      <c r="F8" s="99"/>
      <c r="G8" s="99"/>
      <c r="H8" s="100"/>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98" t="s">
        <v>193</v>
      </c>
      <c r="C18" s="99"/>
      <c r="D18" s="99"/>
      <c r="E18" s="99"/>
      <c r="F18" s="10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2W5o2GZXH6Ztg/fN/ZzKmW7kVUSSVPPOpjjl1vNzEzKGh9Y2oXRjTnlZCOGA9Uw2ZTvBSzjbtmi6xLxwZQUUZQ==" saltValue="3VH0NYJZXud1gSc2UMjnK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155</v>
      </c>
      <c r="C8" s="99"/>
      <c r="D8" s="99"/>
      <c r="E8" s="99"/>
      <c r="F8" s="99"/>
      <c r="G8" s="99"/>
      <c r="H8" s="99"/>
      <c r="I8" s="99"/>
      <c r="J8" s="99"/>
      <c r="K8" s="100"/>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8"/>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hD7/Fmkf6McsOn0LqrVjX1qQ/0UN+34UnI5MaRaCVqsa47M6ihI8ZcxIrb7fePu2wMjMOtxmtlpZewvqaCoucw==" saltValue="+9v5TYjKvYKLzRhTLlAFH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43691</v>
      </c>
      <c r="D11" s="14" t="s">
        <v>3</v>
      </c>
      <c r="E11" s="9">
        <v>87949</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43691</v>
      </c>
      <c r="D17" s="13" t="s">
        <v>3</v>
      </c>
      <c r="E17" s="12">
        <f>SUM(E10:E16)</f>
        <v>87949</v>
      </c>
      <c r="F17" s="13" t="s">
        <v>3</v>
      </c>
      <c r="G17" s="1"/>
    </row>
    <row r="18" spans="1:7" x14ac:dyDescent="0.25">
      <c r="A18" s="1"/>
      <c r="B18" s="52" t="s">
        <v>209</v>
      </c>
      <c r="C18" s="12">
        <f>C17*(1+'Fane 13. Nøgletal'!C16)</f>
        <v>47221.232799999998</v>
      </c>
      <c r="D18" s="13" t="s">
        <v>3</v>
      </c>
      <c r="E18" s="12">
        <f>E17*(1+'Fane 13. Nøgletal'!C16)</f>
        <v>95055.279200000004</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8MW6ONC9AZxJLHKqp/IkIaDB3mHhLtXk2H24lOy+Gy1jYAFnfOpW6SoA9E10Bb1hSkOkYhOk7Ab9vdBRSFcDGA==" saltValue="vUdtoCc0JO6f9RUKnMc39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8" t="s">
        <v>217</v>
      </c>
      <c r="C9" s="99"/>
      <c r="D9" s="99"/>
      <c r="E9" s="99"/>
      <c r="F9" s="100"/>
      <c r="G9" s="1"/>
    </row>
    <row r="10" spans="1:7" ht="26.25" x14ac:dyDescent="0.25">
      <c r="A10" s="1"/>
      <c r="B10" s="73" t="s">
        <v>15</v>
      </c>
      <c r="C10" s="73" t="s">
        <v>10</v>
      </c>
      <c r="D10" s="74"/>
      <c r="E10" s="73" t="s">
        <v>27</v>
      </c>
      <c r="F10" s="30"/>
      <c r="G10" s="1"/>
    </row>
    <row r="11" spans="1:7" x14ac:dyDescent="0.25">
      <c r="A11" s="1"/>
      <c r="B11" s="23" t="s">
        <v>247</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spNlDGaWoyPodPeVgnYEpfnRE8rFZkOVO/5fArePOnGno+uoM49yUsOOj1gay01am7N8k/7TCpQtLLn1ZEU1g==" saltValue="IzSfheaqNT2Ngely4m9pl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104</v>
      </c>
      <c r="C8" s="99"/>
      <c r="D8" s="99"/>
      <c r="E8" s="99"/>
      <c r="F8" s="100"/>
      <c r="G8" s="1"/>
    </row>
    <row r="9" spans="1:7" ht="15" customHeight="1" x14ac:dyDescent="0.25">
      <c r="A9" s="1"/>
      <c r="B9" s="54" t="s">
        <v>105</v>
      </c>
      <c r="C9" s="129" t="s">
        <v>10</v>
      </c>
      <c r="D9" s="131"/>
      <c r="E9" s="129" t="s">
        <v>27</v>
      </c>
      <c r="F9" s="131"/>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oiAkgaCLrbpLXvE2dHz+pdeugezTesEYCF8qoXXXr0aXSWQOx3dAn/Giv/Lz6Y0DWU2H1PzxZ/f9olalq14/AA==" saltValue="aZ6mqBcDneTlfZKYi7S2i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98" t="s">
        <v>237</v>
      </c>
      <c r="C10" s="99"/>
      <c r="D10" s="99"/>
      <c r="E10" s="99"/>
      <c r="F10" s="100"/>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CB3ScrnVQu9ZII/NmJxaOJ5YryndOVoVwyXRAGFQZndiiiclF8qJmp3iGL9979W/VQxK88dqK0aqyjhzAy7JA==" saltValue="OQS4N95S34Cv806aKbEry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5" t="s">
        <v>93</v>
      </c>
      <c r="C9" s="40">
        <v>1.2699999999999999E-2</v>
      </c>
      <c r="D9" s="1"/>
    </row>
    <row r="10" spans="1:4" x14ac:dyDescent="0.25">
      <c r="A10" s="1"/>
      <c r="B10" s="65" t="s">
        <v>21</v>
      </c>
      <c r="C10" s="40">
        <v>1.7500000000000002E-2</v>
      </c>
      <c r="D10" s="1"/>
    </row>
    <row r="11" spans="1:4" x14ac:dyDescent="0.25">
      <c r="A11" s="1"/>
      <c r="B11" s="65"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98"/>
      <c r="C17" s="100"/>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5" t="s">
        <v>95</v>
      </c>
      <c r="C21" s="42">
        <v>9.1000000000000004E-3</v>
      </c>
      <c r="D21" s="1"/>
    </row>
    <row r="22" spans="1:4" x14ac:dyDescent="0.25">
      <c r="A22" s="1"/>
      <c r="B22" s="65" t="s">
        <v>96</v>
      </c>
      <c r="C22" s="42">
        <v>1.77E-2</v>
      </c>
      <c r="D22" s="1"/>
    </row>
    <row r="23" spans="1:4" x14ac:dyDescent="0.25">
      <c r="A23" s="1"/>
      <c r="B23" s="65" t="s">
        <v>97</v>
      </c>
      <c r="C23" s="42">
        <v>8.6999999999999994E-3</v>
      </c>
      <c r="D23" s="1"/>
    </row>
    <row r="24" spans="1:4" x14ac:dyDescent="0.25">
      <c r="A24" s="1"/>
      <c r="B24" s="65" t="s">
        <v>98</v>
      </c>
      <c r="C24" s="42">
        <v>2.8400000000000002E-2</v>
      </c>
      <c r="D24" s="1"/>
    </row>
    <row r="25" spans="1:4" x14ac:dyDescent="0.25">
      <c r="A25" s="1"/>
      <c r="B25" s="65" t="s">
        <v>111</v>
      </c>
      <c r="C25" s="42">
        <v>2.75E-2</v>
      </c>
      <c r="D25" s="1"/>
    </row>
    <row r="26" spans="1:4" x14ac:dyDescent="0.25">
      <c r="A26" s="1"/>
      <c r="B26" s="65"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5"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mVccfvXa+JSO/oSuBARy/c0zf+6Rdv4uCXUKC/H8FzGGcB/1MUJGz7TO5Kz6av10lBgQRSkUDb/YbfkShUR8Ow==" saltValue="lNqbhE3TaLuxxP3RPYDMZA=="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26732568.230347604</v>
      </c>
      <c r="D8" s="8" t="s">
        <v>3</v>
      </c>
      <c r="E8" s="1"/>
    </row>
    <row r="9" spans="1:5" ht="17.100000000000001" customHeight="1" x14ac:dyDescent="0.25">
      <c r="A9" s="1"/>
      <c r="B9" s="24" t="s">
        <v>33</v>
      </c>
      <c r="C9" s="7">
        <f>'Fane 10.1. Varige tillæg'!C18</f>
        <v>47221.232799999998</v>
      </c>
      <c r="D9" s="8" t="s">
        <v>3</v>
      </c>
      <c r="E9" s="1"/>
    </row>
    <row r="10" spans="1:5" ht="17.100000000000001" customHeight="1" x14ac:dyDescent="0.25">
      <c r="A10" s="1"/>
      <c r="B10" s="24" t="s">
        <v>34</v>
      </c>
      <c r="C10" s="9">
        <f>'Fane 10.1. Varige tillæg'!E18</f>
        <v>95055.279200000004</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963175.37116997468</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drift'!G49</f>
        <v>-260302.70137908708</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27577717.412138488</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16731125.200778238</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57">
        <f>SUM(C23:C26)</f>
        <v>0</v>
      </c>
      <c r="D27" s="11" t="s">
        <v>3</v>
      </c>
      <c r="E27" s="1"/>
    </row>
    <row r="28" spans="1:5" ht="15" customHeight="1" x14ac:dyDescent="0.25">
      <c r="A28" s="1"/>
      <c r="B28" s="26" t="s">
        <v>117</v>
      </c>
      <c r="C28" s="53"/>
      <c r="D28" s="19"/>
      <c r="E28" s="1"/>
    </row>
    <row r="29" spans="1:5" x14ac:dyDescent="0.25">
      <c r="A29" s="1"/>
      <c r="B29" s="69" t="s">
        <v>118</v>
      </c>
      <c r="C29" s="10">
        <f>'Fane 7. Kontrol af ØR2022'!E27</f>
        <v>0</v>
      </c>
      <c r="D29" s="11" t="s">
        <v>3</v>
      </c>
      <c r="E29" s="1"/>
    </row>
    <row r="30" spans="1:5" x14ac:dyDescent="0.25">
      <c r="A30" s="1"/>
      <c r="B30" s="26" t="s">
        <v>138</v>
      </c>
      <c r="C30" s="53"/>
      <c r="D30" s="19"/>
      <c r="E30" s="1"/>
    </row>
    <row r="31" spans="1:5" x14ac:dyDescent="0.25">
      <c r="A31" s="1"/>
      <c r="B31" s="69" t="s">
        <v>139</v>
      </c>
      <c r="C31" s="10">
        <f>'Fane 8. Skattesagen'!G13</f>
        <v>0</v>
      </c>
      <c r="D31" s="11" t="s">
        <v>3</v>
      </c>
      <c r="E31" s="1"/>
    </row>
    <row r="32" spans="1:5" x14ac:dyDescent="0.25">
      <c r="A32" s="1"/>
      <c r="B32" s="52" t="s">
        <v>126</v>
      </c>
      <c r="C32" s="33">
        <f>SUM(C19,C21,C27,C29,C31)</f>
        <v>44308842.612916723</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4VpGja9dAFPmRVf4m6qD6K4aYbfhuF57G/mOgLG5m2bWpcVCArjSITxmIDKwp2T5CH6BNZOO+S4SSIkle/Ffw==" saltValue="Y6ZL7n8w5cG4nMKUvlSyF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27577717.412138488</v>
      </c>
      <c r="D8" s="8" t="s">
        <v>3</v>
      </c>
      <c r="E8" s="1"/>
    </row>
    <row r="9" spans="1:5" ht="15" customHeight="1" x14ac:dyDescent="0.25">
      <c r="A9" s="1"/>
      <c r="B9" s="29" t="s">
        <v>17</v>
      </c>
      <c r="C9" s="9">
        <f>SUM(C8:C8)*'Fane 13. Nøgletal'!C16</f>
        <v>2228279.5669007897</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drift'!G54</f>
        <v>-275708.45645750698</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29530288.522581771</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18083000.11700112</v>
      </c>
      <c r="D15" s="11" t="s">
        <v>3</v>
      </c>
      <c r="E15" s="1"/>
    </row>
    <row r="16" spans="1:5" x14ac:dyDescent="0.25">
      <c r="A16" s="1"/>
      <c r="B16" s="26" t="s">
        <v>117</v>
      </c>
      <c r="C16" s="53"/>
      <c r="D16" s="19"/>
      <c r="E16" s="1"/>
    </row>
    <row r="17" spans="1:5" ht="15" customHeight="1" x14ac:dyDescent="0.25">
      <c r="A17" s="1"/>
      <c r="B17" s="69" t="s">
        <v>118</v>
      </c>
      <c r="C17" s="10">
        <f>'Fane 7. Kontrol af ØR2022'!E33</f>
        <v>0</v>
      </c>
      <c r="D17" s="11" t="s">
        <v>3</v>
      </c>
      <c r="E17" s="1"/>
    </row>
    <row r="18" spans="1:5" x14ac:dyDescent="0.25">
      <c r="A18" s="1"/>
      <c r="B18" s="26" t="s">
        <v>138</v>
      </c>
      <c r="C18" s="53"/>
      <c r="D18" s="19"/>
      <c r="E18" s="1"/>
    </row>
    <row r="19" spans="1:5" x14ac:dyDescent="0.25">
      <c r="A19" s="1"/>
      <c r="B19" s="69" t="s">
        <v>139</v>
      </c>
      <c r="C19" s="10">
        <f>'Fane 8. Skattesagen'!G13</f>
        <v>0</v>
      </c>
      <c r="D19" s="11" t="s">
        <v>3</v>
      </c>
      <c r="E19" s="1"/>
    </row>
    <row r="20" spans="1:5" x14ac:dyDescent="0.25">
      <c r="A20" s="1"/>
      <c r="B20" s="52" t="s">
        <v>128</v>
      </c>
      <c r="C20" s="12">
        <f>SUM(C13,C15,C17,C19)</f>
        <v>47613288.639582887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yKt48JzxiqeqTuAASPdMNsIH/hvDgqmQhNTyzRFPkzkjroDZzLg/W65mR3HT2TaPqN1M+kuotjzYERnJ7feKQ==" saltValue="zEKwWKB4GyR57DYkrKCUE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29530288.522581771</v>
      </c>
      <c r="D8" s="8" t="s">
        <v>3</v>
      </c>
      <c r="E8" s="1"/>
    </row>
    <row r="9" spans="1:5" ht="15" customHeight="1" x14ac:dyDescent="0.25">
      <c r="A9" s="1"/>
      <c r="B9" s="29" t="s">
        <v>17</v>
      </c>
      <c r="C9" s="9">
        <f>SUM(C8:C8)*'Fane 13. Nøgletal'!C16</f>
        <v>2386047.3126246072</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drift'!G59</f>
        <v>-292025.98574448808</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31624309.849461891</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19544106.52645481</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69" t="s">
        <v>139</v>
      </c>
      <c r="C19" s="10">
        <f>'Fane 8. Skattesagen'!G14</f>
        <v>0</v>
      </c>
      <c r="D19" s="11" t="s">
        <v>3</v>
      </c>
      <c r="E19" s="1"/>
    </row>
    <row r="20" spans="1:5" x14ac:dyDescent="0.25">
      <c r="A20" s="1"/>
      <c r="B20" s="52" t="s">
        <v>143</v>
      </c>
      <c r="C20" s="12">
        <f>SUM(C13,C15,C17,C19)</f>
        <v>51168416.375916705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N99ByUZdUPLLU1VbrP/wcLtmsM8opWP2/28jRUTji7ri4JsJhaia0uMiwwcFq72jr/kM8QafFK4+ZZIKq3bpg==" saltValue="Cdamyw5U/uSBjber84fQi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31624309.849461891</v>
      </c>
      <c r="D8" s="8" t="s">
        <v>3</v>
      </c>
      <c r="E8" s="1"/>
    </row>
    <row r="9" spans="1:5" ht="15" customHeight="1" x14ac:dyDescent="0.25">
      <c r="A9" s="1"/>
      <c r="B9" s="29" t="s">
        <v>17</v>
      </c>
      <c r="C9" s="9">
        <f>SUM(C8:C8)*'Fane 13. Nøgletal'!C16</f>
        <v>2555244.2358365208</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drift'!G64</f>
        <v>-309309.25168478984</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33870244.833613619</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21123270.333792359</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69" t="s">
        <v>139</v>
      </c>
      <c r="C19" s="10">
        <f>'Fane 8. Skattesagen'!G15</f>
        <v>0</v>
      </c>
      <c r="D19" s="11" t="s">
        <v>3</v>
      </c>
      <c r="E19" s="1"/>
    </row>
    <row r="20" spans="1:5" x14ac:dyDescent="0.25">
      <c r="A20" s="1"/>
      <c r="B20" s="52" t="s">
        <v>205</v>
      </c>
      <c r="C20" s="12">
        <f>SUM(C13,C15,C17,C19)</f>
        <v>54993515.167405978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Ixxf4Z9qRSlZ4x7xBgRF9tAua4BDkgxwHcJu7M41CnONfMBq+hJiD5n3fqydBpOJoooCsx4EAQQhEpNL78isA==" saltValue="GSG9el2eoEdW20K2dwWSg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26036882.969413552</v>
      </c>
      <c r="D8" s="8" t="s">
        <v>3</v>
      </c>
      <c r="E8" s="1"/>
    </row>
    <row r="9" spans="1:5" x14ac:dyDescent="0.25">
      <c r="A9" s="1"/>
      <c r="B9" s="24" t="s">
        <v>33</v>
      </c>
      <c r="C9" s="7">
        <v>10113.669600000001</v>
      </c>
      <c r="D9" s="8" t="s">
        <v>3</v>
      </c>
      <c r="E9" s="1"/>
    </row>
    <row r="10" spans="1:5" x14ac:dyDescent="0.25">
      <c r="A10" s="1"/>
      <c r="B10" s="24" t="s">
        <v>34</v>
      </c>
      <c r="C10" s="9">
        <v>13303.3176</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927746.67845544242</v>
      </c>
      <c r="D15" s="8" t="s">
        <v>3</v>
      </c>
      <c r="E15" s="1"/>
    </row>
    <row r="16" spans="1:5" x14ac:dyDescent="0.25">
      <c r="A16" s="1"/>
      <c r="B16" s="24" t="s">
        <v>9</v>
      </c>
      <c r="C16" s="9">
        <v>0</v>
      </c>
      <c r="D16" s="8" t="s">
        <v>3</v>
      </c>
      <c r="E16" s="1"/>
    </row>
    <row r="17" spans="1:5" x14ac:dyDescent="0.25">
      <c r="A17" s="1"/>
      <c r="B17" s="24" t="s">
        <v>22</v>
      </c>
      <c r="C17" s="9">
        <v>-255478.40472139019</v>
      </c>
      <c r="D17" s="8" t="s">
        <v>3</v>
      </c>
      <c r="E17" s="1"/>
    </row>
    <row r="18" spans="1:5" x14ac:dyDescent="0.25">
      <c r="A18" s="1"/>
      <c r="B18" s="24" t="s">
        <v>23</v>
      </c>
      <c r="C18" s="9">
        <v>0</v>
      </c>
      <c r="D18" s="8" t="s">
        <v>3</v>
      </c>
      <c r="E18" s="1"/>
    </row>
    <row r="19" spans="1:5" x14ac:dyDescent="0.25">
      <c r="A19" s="1"/>
      <c r="B19" s="70" t="s">
        <v>19</v>
      </c>
      <c r="C19" s="10">
        <v>26732568.230347604</v>
      </c>
      <c r="D19" s="11" t="s">
        <v>3</v>
      </c>
      <c r="E19" s="1"/>
    </row>
    <row r="20" spans="1:5" x14ac:dyDescent="0.25">
      <c r="A20" s="1"/>
      <c r="B20" s="52" t="s">
        <v>11</v>
      </c>
      <c r="C20" s="53"/>
      <c r="D20" s="19"/>
      <c r="E20" s="1"/>
    </row>
    <row r="21" spans="1:5" x14ac:dyDescent="0.25">
      <c r="A21" s="1"/>
      <c r="B21" s="54" t="s">
        <v>11</v>
      </c>
      <c r="C21" s="10">
        <v>16413966.016771682</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7">
        <v>0</v>
      </c>
      <c r="D27" s="11" t="s">
        <v>3</v>
      </c>
      <c r="E27" s="1"/>
    </row>
    <row r="28" spans="1:5" x14ac:dyDescent="0.25">
      <c r="A28" s="1"/>
      <c r="B28" s="26" t="s">
        <v>117</v>
      </c>
      <c r="C28" s="53"/>
      <c r="D28" s="19"/>
      <c r="E28" s="1"/>
    </row>
    <row r="29" spans="1:5" x14ac:dyDescent="0.25">
      <c r="A29" s="1"/>
      <c r="B29" s="69" t="s">
        <v>118</v>
      </c>
      <c r="C29" s="10">
        <v>0</v>
      </c>
      <c r="D29" s="11" t="s">
        <v>3</v>
      </c>
      <c r="E29" s="1"/>
    </row>
    <row r="30" spans="1:5" x14ac:dyDescent="0.25">
      <c r="A30" s="1"/>
      <c r="B30" s="26" t="s">
        <v>138</v>
      </c>
      <c r="C30" s="53"/>
      <c r="D30" s="19"/>
      <c r="E30" s="1"/>
    </row>
    <row r="31" spans="1:5" x14ac:dyDescent="0.25">
      <c r="A31" s="1"/>
      <c r="B31" s="69" t="s">
        <v>139</v>
      </c>
      <c r="C31" s="10">
        <v>0</v>
      </c>
      <c r="D31" s="11" t="s">
        <v>3</v>
      </c>
      <c r="E31" s="1"/>
    </row>
    <row r="32" spans="1:5" x14ac:dyDescent="0.25">
      <c r="A32" s="1"/>
      <c r="B32" s="52" t="s">
        <v>239</v>
      </c>
      <c r="C32" s="33">
        <v>43146534.247119285</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MtQAR4lY0dj4Yby+KxNrCBHsmiKkwjsJd/EgLj6bD/K/fraDz1ovJr46SvJ/nEyqxBZrNJ1JMawvNSiR6SnXVg==" saltValue="4gXbp8eYAyQITsEHHHKoq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98" t="s">
        <v>44</v>
      </c>
      <c r="C4" s="99"/>
      <c r="D4" s="99"/>
      <c r="E4" s="99"/>
      <c r="F4" s="99"/>
      <c r="G4" s="99"/>
      <c r="H4" s="100"/>
      <c r="I4" s="1"/>
    </row>
    <row r="5" spans="1:9" x14ac:dyDescent="0.25">
      <c r="A5" s="1"/>
      <c r="B5" s="101" t="s">
        <v>36</v>
      </c>
      <c r="C5" s="102"/>
      <c r="D5" s="102"/>
      <c r="E5" s="102"/>
      <c r="F5" s="103"/>
      <c r="G5" s="47">
        <v>12552103.323939804</v>
      </c>
      <c r="H5" s="14" t="s">
        <v>3</v>
      </c>
      <c r="I5" s="1"/>
    </row>
    <row r="6" spans="1:9" x14ac:dyDescent="0.25">
      <c r="A6" s="1"/>
      <c r="B6" s="101" t="s">
        <v>37</v>
      </c>
      <c r="C6" s="102"/>
      <c r="D6" s="102"/>
      <c r="E6" s="102"/>
      <c r="F6" s="103"/>
      <c r="G6" s="22">
        <f>G5*'Fane 13. Nøgletal'!C33</f>
        <v>251042.06647879607</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98" t="s">
        <v>45</v>
      </c>
      <c r="C9" s="99"/>
      <c r="D9" s="99"/>
      <c r="E9" s="99"/>
      <c r="F9" s="99"/>
      <c r="G9" s="99"/>
      <c r="H9" s="100"/>
      <c r="I9" s="1"/>
    </row>
    <row r="10" spans="1:9" x14ac:dyDescent="0.25">
      <c r="A10" s="1"/>
      <c r="B10" s="101" t="s">
        <v>38</v>
      </c>
      <c r="C10" s="102"/>
      <c r="D10" s="102"/>
      <c r="E10" s="102"/>
      <c r="F10" s="103"/>
      <c r="G10" s="22">
        <f>(G5-G6)*(1+'Fane 13. Nøgletal'!C9)</f>
        <v>12457284.735430762</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249145.69470861525</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98" t="s">
        <v>46</v>
      </c>
      <c r="C15" s="99"/>
      <c r="D15" s="99"/>
      <c r="E15" s="99"/>
      <c r="F15" s="99"/>
      <c r="G15" s="99"/>
      <c r="H15" s="100"/>
      <c r="I15" s="1"/>
    </row>
    <row r="16" spans="1:9" x14ac:dyDescent="0.25">
      <c r="A16" s="1"/>
      <c r="B16" s="101" t="s">
        <v>40</v>
      </c>
      <c r="C16" s="102"/>
      <c r="D16" s="102"/>
      <c r="E16" s="102"/>
      <c r="F16" s="103"/>
      <c r="G16" s="22">
        <f>(G10+G11-G12)*(1+'Fane 13. Nøgletal'!C11)</f>
        <v>12414456.59051035</v>
      </c>
      <c r="H16" s="14" t="s">
        <v>3</v>
      </c>
      <c r="I16" s="1"/>
    </row>
    <row r="17" spans="1:9" x14ac:dyDescent="0.25">
      <c r="A17" s="1"/>
      <c r="B17" s="101" t="s">
        <v>100</v>
      </c>
      <c r="C17" s="102"/>
      <c r="D17" s="102"/>
      <c r="E17" s="102"/>
      <c r="F17" s="103"/>
      <c r="G17" s="47">
        <v>0</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248289.13181020701</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98" t="s">
        <v>47</v>
      </c>
      <c r="C22" s="99"/>
      <c r="D22" s="99"/>
      <c r="E22" s="99"/>
      <c r="F22" s="99"/>
      <c r="G22" s="99"/>
      <c r="H22" s="100"/>
      <c r="I22" s="1"/>
    </row>
    <row r="23" spans="1:9" x14ac:dyDescent="0.25">
      <c r="A23" s="1"/>
      <c r="B23" s="101" t="s">
        <v>42</v>
      </c>
      <c r="C23" s="102"/>
      <c r="D23" s="102"/>
      <c r="E23" s="102"/>
      <c r="F23" s="103"/>
      <c r="G23" s="22">
        <f>(SUM(G16:G18)-G19)*(1+'Fane 13. Nøgletal'!C11)</f>
        <v>12371775.688752174</v>
      </c>
      <c r="H23" s="14" t="s">
        <v>3</v>
      </c>
      <c r="I23" s="1"/>
    </row>
    <row r="24" spans="1:9" x14ac:dyDescent="0.25">
      <c r="A24" s="1"/>
      <c r="B24" s="104" t="s">
        <v>230</v>
      </c>
      <c r="C24" s="105"/>
      <c r="D24" s="105"/>
      <c r="E24" s="105"/>
      <c r="F24" s="106"/>
      <c r="G24" s="47">
        <v>0</v>
      </c>
      <c r="H24" s="14" t="s">
        <v>3</v>
      </c>
      <c r="I24" s="1"/>
    </row>
    <row r="25" spans="1:9" x14ac:dyDescent="0.25">
      <c r="A25" s="1"/>
      <c r="B25" s="101" t="s">
        <v>43</v>
      </c>
      <c r="C25" s="102"/>
      <c r="D25" s="102"/>
      <c r="E25" s="102"/>
      <c r="F25" s="103"/>
      <c r="G25" s="22">
        <f>(G23+G24)*'Fane 13. Nøgletal'!C33</f>
        <v>247435.51377504348</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98" t="s">
        <v>121</v>
      </c>
      <c r="C28" s="99"/>
      <c r="D28" s="99"/>
      <c r="E28" s="99"/>
      <c r="F28" s="99"/>
      <c r="G28" s="99"/>
      <c r="H28" s="100"/>
      <c r="I28" s="1"/>
    </row>
    <row r="29" spans="1:9" x14ac:dyDescent="0.25">
      <c r="A29" s="1"/>
      <c r="B29" s="101" t="s">
        <v>50</v>
      </c>
      <c r="C29" s="102"/>
      <c r="D29" s="102"/>
      <c r="E29" s="102"/>
      <c r="F29" s="103"/>
      <c r="G29" s="22">
        <f>(G23+G24-G25)*(1+'Fane 13. Nøgletal'!C13)</f>
        <v>12272257.125111852</v>
      </c>
      <c r="H29" s="14" t="s">
        <v>3</v>
      </c>
      <c r="I29" s="1"/>
    </row>
    <row r="30" spans="1:9" x14ac:dyDescent="0.25">
      <c r="A30" s="1"/>
      <c r="B30" s="101" t="s">
        <v>231</v>
      </c>
      <c r="C30" s="102"/>
      <c r="D30" s="102"/>
      <c r="E30" s="102"/>
      <c r="F30" s="103"/>
      <c r="G30" s="47">
        <v>390688.13551067997</v>
      </c>
      <c r="H30" s="14" t="s">
        <v>3</v>
      </c>
      <c r="I30" s="1"/>
    </row>
    <row r="31" spans="1:9" x14ac:dyDescent="0.25">
      <c r="A31" s="1"/>
      <c r="B31" s="101" t="s">
        <v>115</v>
      </c>
      <c r="C31" s="102"/>
      <c r="D31" s="102"/>
      <c r="E31" s="102"/>
      <c r="F31" s="103"/>
      <c r="G31" s="22">
        <f>(G29+G30)*'Fane 13. Nøgletal'!C33</f>
        <v>253258.90521245063</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98" t="s">
        <v>122</v>
      </c>
      <c r="C34" s="99"/>
      <c r="D34" s="99"/>
      <c r="E34" s="99"/>
      <c r="F34" s="99"/>
      <c r="G34" s="99"/>
      <c r="H34" s="100"/>
      <c r="I34" s="1"/>
    </row>
    <row r="35" spans="1:9" x14ac:dyDescent="0.25">
      <c r="A35" s="1"/>
      <c r="B35" s="101" t="s">
        <v>69</v>
      </c>
      <c r="C35" s="102"/>
      <c r="D35" s="102"/>
      <c r="E35" s="102"/>
      <c r="F35" s="103"/>
      <c r="G35" s="22">
        <f>(G29+G30-G31)*(1+'Fane 13. Nøgletal'!C13)</f>
        <v>12561084.528946083</v>
      </c>
      <c r="H35" s="14" t="s">
        <v>3</v>
      </c>
      <c r="I35" s="1"/>
    </row>
    <row r="36" spans="1:9" x14ac:dyDescent="0.25">
      <c r="A36" s="1"/>
      <c r="B36" s="101" t="s">
        <v>232</v>
      </c>
      <c r="C36" s="102"/>
      <c r="D36" s="102"/>
      <c r="E36" s="102"/>
      <c r="F36" s="103"/>
      <c r="G36" s="47">
        <v>15127.348454920002</v>
      </c>
      <c r="H36" s="14" t="s">
        <v>3</v>
      </c>
      <c r="I36" s="1"/>
    </row>
    <row r="37" spans="1:9" x14ac:dyDescent="0.25">
      <c r="A37" s="1"/>
      <c r="B37" s="101" t="s">
        <v>123</v>
      </c>
      <c r="C37" s="102"/>
      <c r="D37" s="102"/>
      <c r="E37" s="102"/>
      <c r="F37" s="103"/>
      <c r="G37" s="22">
        <f>(G35+G36)*'Fane 13. Nøgletal'!C33</f>
        <v>251524.23754802009</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98" t="s">
        <v>157</v>
      </c>
      <c r="C40" s="99"/>
      <c r="D40" s="99"/>
      <c r="E40" s="99"/>
      <c r="F40" s="99"/>
      <c r="G40" s="99"/>
      <c r="H40" s="100"/>
      <c r="I40" s="1"/>
    </row>
    <row r="41" spans="1:9" x14ac:dyDescent="0.25">
      <c r="A41" s="1"/>
      <c r="B41" s="101" t="s">
        <v>68</v>
      </c>
      <c r="C41" s="102"/>
      <c r="D41" s="102"/>
      <c r="E41" s="102"/>
      <c r="F41" s="103"/>
      <c r="G41" s="22">
        <f>(G35+G36-G37)*(1+'Fane 13. Nøgletal'!C15)</f>
        <v>12763446.519831751</v>
      </c>
      <c r="H41" s="14" t="s">
        <v>3</v>
      </c>
      <c r="I41" s="1"/>
    </row>
    <row r="42" spans="1:9" x14ac:dyDescent="0.25">
      <c r="A42" s="1"/>
      <c r="B42" s="101" t="s">
        <v>156</v>
      </c>
      <c r="C42" s="102"/>
      <c r="D42" s="102"/>
      <c r="E42" s="102"/>
      <c r="F42" s="103"/>
      <c r="G42" s="22">
        <v>10473.716237760002</v>
      </c>
      <c r="H42" s="14" t="s">
        <v>3</v>
      </c>
      <c r="I42" s="1"/>
    </row>
    <row r="43" spans="1:9" x14ac:dyDescent="0.25">
      <c r="A43" s="1"/>
      <c r="B43" s="101" t="s">
        <v>166</v>
      </c>
      <c r="C43" s="102"/>
      <c r="D43" s="102"/>
      <c r="E43" s="102"/>
      <c r="F43" s="103"/>
      <c r="G43" s="22">
        <f>(G41+G42)*'Fane 13. Nøgletal'!C33</f>
        <v>255478.40472139019</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98" t="s">
        <v>158</v>
      </c>
      <c r="C46" s="99"/>
      <c r="D46" s="99"/>
      <c r="E46" s="99"/>
      <c r="F46" s="99"/>
      <c r="G46" s="99"/>
      <c r="H46" s="100"/>
      <c r="I46" s="1"/>
    </row>
    <row r="47" spans="1:9" x14ac:dyDescent="0.25">
      <c r="A47" s="1"/>
      <c r="B47" s="101" t="s">
        <v>112</v>
      </c>
      <c r="C47" s="102"/>
      <c r="D47" s="102"/>
      <c r="E47" s="102"/>
      <c r="F47" s="103"/>
      <c r="G47" s="22">
        <f>(G41+G42-G43)*(1+'Fane 13. Nøgletal'!C15)</f>
        <v>12964098.360544113</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51036.708410239997</v>
      </c>
      <c r="H48" s="14" t="s">
        <v>3</v>
      </c>
      <c r="I48" s="1"/>
    </row>
    <row r="49" spans="1:9" x14ac:dyDescent="0.25">
      <c r="A49" s="1"/>
      <c r="B49" s="101" t="s">
        <v>167</v>
      </c>
      <c r="C49" s="102"/>
      <c r="D49" s="102"/>
      <c r="E49" s="102"/>
      <c r="F49" s="103"/>
      <c r="G49" s="22">
        <f>G47*'Fane 13. Nøgletal'!C33+G48*'Fane 13. Nøgletal'!C33</f>
        <v>260302.70137908708</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98" t="s">
        <v>133</v>
      </c>
      <c r="C52" s="99"/>
      <c r="D52" s="99"/>
      <c r="E52" s="99"/>
      <c r="F52" s="99"/>
      <c r="G52" s="99"/>
      <c r="H52" s="100"/>
      <c r="I52" s="1"/>
    </row>
    <row r="53" spans="1:9" x14ac:dyDescent="0.25">
      <c r="A53" s="1"/>
      <c r="B53" s="101" t="s">
        <v>134</v>
      </c>
      <c r="C53" s="102"/>
      <c r="D53" s="102"/>
      <c r="E53" s="102"/>
      <c r="F53" s="103"/>
      <c r="G53" s="22">
        <f>(G47+G48-G49)*(1+'Fane 13. Nøgletal'!C16)</f>
        <v>13785422.822875349</v>
      </c>
      <c r="H53" s="14" t="s">
        <v>3</v>
      </c>
      <c r="I53" s="1"/>
    </row>
    <row r="54" spans="1:9" x14ac:dyDescent="0.25">
      <c r="A54" s="1"/>
      <c r="B54" s="101" t="s">
        <v>135</v>
      </c>
      <c r="C54" s="102"/>
      <c r="D54" s="102"/>
      <c r="E54" s="102"/>
      <c r="F54" s="103"/>
      <c r="G54" s="22">
        <f>(G53)*'Fane 13. Nøgletal'!C33</f>
        <v>275708.45645750698</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98" t="s">
        <v>144</v>
      </c>
      <c r="C57" s="99"/>
      <c r="D57" s="99"/>
      <c r="E57" s="99"/>
      <c r="F57" s="99"/>
      <c r="G57" s="99"/>
      <c r="H57" s="100"/>
      <c r="I57" s="1"/>
    </row>
    <row r="58" spans="1:9" x14ac:dyDescent="0.25">
      <c r="A58" s="1"/>
      <c r="B58" s="101" t="s">
        <v>145</v>
      </c>
      <c r="C58" s="102"/>
      <c r="D58" s="102"/>
      <c r="E58" s="102"/>
      <c r="F58" s="103"/>
      <c r="G58" s="22">
        <f>(G53-G54)*(1+'Fane 13. Nøgletal'!C16)</f>
        <v>14601299.287224403</v>
      </c>
      <c r="H58" s="14" t="s">
        <v>3</v>
      </c>
      <c r="I58" s="1"/>
    </row>
    <row r="59" spans="1:9" x14ac:dyDescent="0.25">
      <c r="A59" s="1"/>
      <c r="B59" s="101" t="s">
        <v>146</v>
      </c>
      <c r="C59" s="102"/>
      <c r="D59" s="102"/>
      <c r="E59" s="102"/>
      <c r="F59" s="103"/>
      <c r="G59" s="22">
        <f>(G58)*'Fane 13. Nøgletal'!C33</f>
        <v>292025.98574448808</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98" t="s">
        <v>220</v>
      </c>
      <c r="C62" s="99"/>
      <c r="D62" s="99"/>
      <c r="E62" s="99"/>
      <c r="F62" s="99"/>
      <c r="G62" s="99"/>
      <c r="H62" s="100"/>
      <c r="I62" s="1"/>
    </row>
    <row r="63" spans="1:9" x14ac:dyDescent="0.25">
      <c r="A63" s="1"/>
      <c r="B63" s="101" t="s">
        <v>221</v>
      </c>
      <c r="C63" s="102"/>
      <c r="D63" s="102"/>
      <c r="E63" s="102"/>
      <c r="F63" s="103"/>
      <c r="G63" s="22">
        <f>(G58-G59)*(1+'Fane 13. Nøgletal'!C16)</f>
        <v>15465462.584239492</v>
      </c>
      <c r="H63" s="14" t="s">
        <v>3</v>
      </c>
      <c r="I63" s="1"/>
    </row>
    <row r="64" spans="1:9" x14ac:dyDescent="0.25">
      <c r="A64" s="1"/>
      <c r="B64" s="101" t="s">
        <v>222</v>
      </c>
      <c r="C64" s="102"/>
      <c r="D64" s="102"/>
      <c r="E64" s="102"/>
      <c r="F64" s="103"/>
      <c r="G64" s="22">
        <f>(G63)*'Fane 13. Nøgletal'!C33</f>
        <v>309309.25168478984</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sD9o7eINJJlEGsJBIwBJH6e9f0tMpqV2O+ZuYcq1Xh5EKKDyfwRz3m/6VP1wVq7PesPRFSaoemSgblrUfoBYjg==" saltValue="kGgxH5JZa0/Wf5fs7dg1dw=="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98" t="s">
        <v>48</v>
      </c>
      <c r="C4" s="99"/>
      <c r="D4" s="99"/>
      <c r="E4" s="99"/>
      <c r="F4" s="99"/>
      <c r="G4" s="99"/>
      <c r="H4" s="100"/>
      <c r="I4" s="1"/>
    </row>
    <row r="5" spans="1:9" x14ac:dyDescent="0.25">
      <c r="A5" s="1"/>
      <c r="B5" s="101" t="s">
        <v>51</v>
      </c>
      <c r="C5" s="102"/>
      <c r="D5" s="102"/>
      <c r="E5" s="102"/>
      <c r="F5" s="103"/>
      <c r="G5" s="47">
        <v>14568382.748357538</v>
      </c>
      <c r="H5" s="14" t="s">
        <v>3</v>
      </c>
      <c r="I5" s="1"/>
    </row>
    <row r="6" spans="1:9" x14ac:dyDescent="0.25">
      <c r="A6" s="1"/>
      <c r="B6" s="101" t="s">
        <v>49</v>
      </c>
      <c r="C6" s="102"/>
      <c r="D6" s="102"/>
      <c r="E6" s="102"/>
      <c r="F6" s="103"/>
      <c r="G6" s="22">
        <f>G5*'Fane 13. Nøgletal'!C21</f>
        <v>132572.28301005359</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98" t="s">
        <v>52</v>
      </c>
      <c r="C9" s="99"/>
      <c r="D9" s="99"/>
      <c r="E9" s="99"/>
      <c r="F9" s="99"/>
      <c r="G9" s="99"/>
      <c r="H9" s="100"/>
      <c r="I9" s="1"/>
    </row>
    <row r="10" spans="1:9" x14ac:dyDescent="0.25">
      <c r="A10" s="1"/>
      <c r="B10" s="101" t="s">
        <v>53</v>
      </c>
      <c r="C10" s="102"/>
      <c r="D10" s="102"/>
      <c r="E10" s="102"/>
      <c r="F10" s="103"/>
      <c r="G10" s="22">
        <f>(G5-G6)*(1+'Fane 13. Nøgletal'!C9)</f>
        <v>14619145.258257397</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133034.22185014232</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98" t="s">
        <v>56</v>
      </c>
      <c r="C15" s="99"/>
      <c r="D15" s="99"/>
      <c r="E15" s="99"/>
      <c r="F15" s="99"/>
      <c r="G15" s="99"/>
      <c r="H15" s="100"/>
      <c r="I15" s="1"/>
    </row>
    <row r="16" spans="1:9" x14ac:dyDescent="0.25">
      <c r="A16" s="1"/>
      <c r="B16" s="101" t="s">
        <v>57</v>
      </c>
      <c r="C16" s="102"/>
      <c r="D16" s="102"/>
      <c r="E16" s="102"/>
      <c r="F16" s="103"/>
      <c r="G16" s="22">
        <f>(G10+G11-G12)*(1+'Fane 13. Nøgletal'!C11)</f>
        <v>14730926.312922535</v>
      </c>
      <c r="H16" s="14" t="s">
        <v>3</v>
      </c>
      <c r="I16" s="1"/>
    </row>
    <row r="17" spans="1:9" x14ac:dyDescent="0.25">
      <c r="A17" s="1"/>
      <c r="B17" s="101" t="s">
        <v>101</v>
      </c>
      <c r="C17" s="102"/>
      <c r="D17" s="102"/>
      <c r="E17" s="102"/>
      <c r="F17" s="103"/>
      <c r="G17" s="47">
        <v>108215.91727957159</v>
      </c>
      <c r="H17" s="14" t="s">
        <v>3</v>
      </c>
      <c r="I17" s="1"/>
    </row>
    <row r="18" spans="1:9" x14ac:dyDescent="0.25">
      <c r="A18" s="1"/>
      <c r="B18" s="104" t="s">
        <v>58</v>
      </c>
      <c r="C18" s="105"/>
      <c r="D18" s="105"/>
      <c r="E18" s="105"/>
      <c r="F18" s="106"/>
      <c r="G18" s="47">
        <v>10679.002094469997</v>
      </c>
      <c r="H18" s="14" t="s">
        <v>3</v>
      </c>
      <c r="I18" s="1"/>
    </row>
    <row r="19" spans="1:9" x14ac:dyDescent="0.25">
      <c r="A19" s="1"/>
      <c r="B19" s="101" t="s">
        <v>59</v>
      </c>
      <c r="C19" s="102"/>
      <c r="D19" s="102"/>
      <c r="E19" s="102"/>
      <c r="F19" s="103"/>
      <c r="G19" s="22">
        <f>(G16+G17+G18)*'Fane 13. Nøgletal'!C23</f>
        <v>129193.4447209802</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98" t="s">
        <v>60</v>
      </c>
      <c r="C22" s="99"/>
      <c r="D22" s="99"/>
      <c r="E22" s="99"/>
      <c r="F22" s="99"/>
      <c r="G22" s="99"/>
      <c r="H22" s="100"/>
      <c r="I22" s="1"/>
    </row>
    <row r="23" spans="1:9" x14ac:dyDescent="0.25">
      <c r="A23" s="1"/>
      <c r="B23" s="101" t="s">
        <v>61</v>
      </c>
      <c r="C23" s="102"/>
      <c r="D23" s="102"/>
      <c r="E23" s="102"/>
      <c r="F23" s="103"/>
      <c r="G23" s="22">
        <f>(SUM(G16:G18)-G19)*(1+'Fane 13. Nøgletal'!C11)</f>
        <v>14969406.397185624</v>
      </c>
      <c r="H23" s="14" t="s">
        <v>3</v>
      </c>
      <c r="I23" s="1"/>
    </row>
    <row r="24" spans="1:9" x14ac:dyDescent="0.25">
      <c r="A24" s="1"/>
      <c r="B24" s="104" t="s">
        <v>62</v>
      </c>
      <c r="C24" s="105"/>
      <c r="D24" s="105"/>
      <c r="E24" s="105"/>
      <c r="F24" s="106"/>
      <c r="G24" s="47">
        <v>22924.242679833002</v>
      </c>
      <c r="H24" s="14" t="s">
        <v>3</v>
      </c>
      <c r="I24" s="1"/>
    </row>
    <row r="25" spans="1:9" x14ac:dyDescent="0.25">
      <c r="A25" s="1"/>
      <c r="B25" s="101" t="s">
        <v>63</v>
      </c>
      <c r="C25" s="102"/>
      <c r="D25" s="102"/>
      <c r="E25" s="102"/>
      <c r="F25" s="103"/>
      <c r="G25" s="22">
        <f>G23*'Fane 13. Nøgletal'!C23+G24*'Fane 13. Nøgletal'!C24</f>
        <v>130884.88414762219</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98" t="s">
        <v>119</v>
      </c>
      <c r="C28" s="99"/>
      <c r="D28" s="99"/>
      <c r="E28" s="99"/>
      <c r="F28" s="99"/>
      <c r="G28" s="99"/>
      <c r="H28" s="100"/>
      <c r="I28" s="1"/>
    </row>
    <row r="29" spans="1:9" x14ac:dyDescent="0.25">
      <c r="A29" s="1"/>
      <c r="B29" s="101" t="s">
        <v>64</v>
      </c>
      <c r="C29" s="102"/>
      <c r="D29" s="102"/>
      <c r="E29" s="102"/>
      <c r="F29" s="103"/>
      <c r="G29" s="22">
        <f>(G23+G24-G25)*(1+'Fane 13. Nøgletal'!C13)</f>
        <v>15042755.393937591</v>
      </c>
      <c r="H29" s="14" t="s">
        <v>3</v>
      </c>
      <c r="I29" s="1"/>
    </row>
    <row r="30" spans="1:9" x14ac:dyDescent="0.25">
      <c r="A30" s="1"/>
      <c r="B30" s="101" t="s">
        <v>113</v>
      </c>
      <c r="C30" s="102"/>
      <c r="D30" s="102"/>
      <c r="E30" s="102"/>
      <c r="F30" s="103"/>
      <c r="G30" s="47">
        <v>668523.24084420002</v>
      </c>
      <c r="H30" s="14" t="s">
        <v>3</v>
      </c>
      <c r="I30" s="1"/>
    </row>
    <row r="31" spans="1:9" x14ac:dyDescent="0.25">
      <c r="A31" s="1"/>
      <c r="B31" s="101" t="s">
        <v>120</v>
      </c>
      <c r="C31" s="102"/>
      <c r="D31" s="102"/>
      <c r="E31" s="102"/>
      <c r="F31" s="103"/>
      <c r="G31" s="22">
        <f>(G29+G30)*'Fane 13. Nøgletal'!C25</f>
        <v>432060.16245649924</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98" t="s">
        <v>124</v>
      </c>
      <c r="C34" s="99"/>
      <c r="D34" s="99"/>
      <c r="E34" s="99"/>
      <c r="F34" s="99"/>
      <c r="G34" s="99"/>
      <c r="H34" s="100"/>
      <c r="I34" s="1"/>
    </row>
    <row r="35" spans="1:9" x14ac:dyDescent="0.25">
      <c r="A35" s="1"/>
      <c r="B35" s="101" t="s">
        <v>67</v>
      </c>
      <c r="C35" s="102"/>
      <c r="D35" s="102"/>
      <c r="E35" s="102"/>
      <c r="F35" s="103"/>
      <c r="G35" s="22">
        <f>(G29+G30-G31)*(1+'Fane 13. Nøgletal'!C13)</f>
        <v>15465624.93768766</v>
      </c>
      <c r="H35" s="14" t="s">
        <v>3</v>
      </c>
      <c r="I35" s="1"/>
    </row>
    <row r="36" spans="1:9" x14ac:dyDescent="0.25">
      <c r="A36" s="1"/>
      <c r="B36" s="101" t="s">
        <v>129</v>
      </c>
      <c r="C36" s="102"/>
      <c r="D36" s="102"/>
      <c r="E36" s="102"/>
      <c r="F36" s="103"/>
      <c r="G36" s="22">
        <v>13661.722999080002</v>
      </c>
      <c r="H36" s="14" t="s">
        <v>3</v>
      </c>
      <c r="I36" s="1"/>
    </row>
    <row r="37" spans="1:9" x14ac:dyDescent="0.25">
      <c r="A37" s="1"/>
      <c r="B37" s="101" t="s">
        <v>125</v>
      </c>
      <c r="C37" s="102"/>
      <c r="D37" s="102"/>
      <c r="E37" s="102"/>
      <c r="F37" s="103"/>
      <c r="G37" s="22">
        <f>G35*'Fane 13. Nøgletal'!C25+G36*'Fane 13. Nøgletal'!C26</f>
        <v>425506.87928679702</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98" t="s">
        <v>159</v>
      </c>
      <c r="C40" s="99"/>
      <c r="D40" s="99"/>
      <c r="E40" s="99"/>
      <c r="F40" s="99"/>
      <c r="G40" s="99"/>
      <c r="H40" s="100"/>
      <c r="I40" s="1"/>
    </row>
    <row r="41" spans="1:9" x14ac:dyDescent="0.25">
      <c r="A41" s="1"/>
      <c r="B41" s="101" t="s">
        <v>66</v>
      </c>
      <c r="C41" s="102"/>
      <c r="D41" s="102"/>
      <c r="E41" s="102"/>
      <c r="F41" s="103"/>
      <c r="G41" s="22">
        <f>(G35+G36-G37)*(1+'Fane 13. Nøgletal'!C15)</f>
        <v>15589694.34161778</v>
      </c>
      <c r="H41" s="14" t="s">
        <v>3</v>
      </c>
      <c r="I41" s="1"/>
    </row>
    <row r="42" spans="1:9" x14ac:dyDescent="0.25">
      <c r="A42" s="1"/>
      <c r="B42" s="101" t="s">
        <v>169</v>
      </c>
      <c r="C42" s="102"/>
      <c r="D42" s="102"/>
      <c r="E42" s="102"/>
      <c r="F42" s="103"/>
      <c r="G42" s="9">
        <v>13776.915706560001</v>
      </c>
      <c r="H42" s="14" t="s">
        <v>3</v>
      </c>
      <c r="I42" s="1"/>
    </row>
    <row r="43" spans="1:9" x14ac:dyDescent="0.25">
      <c r="A43" s="1"/>
      <c r="B43" s="101" t="s">
        <v>65</v>
      </c>
      <c r="C43" s="102"/>
      <c r="D43" s="102"/>
      <c r="E43" s="102"/>
      <c r="F43" s="103"/>
      <c r="G43" s="9">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98" t="s">
        <v>160</v>
      </c>
      <c r="C46" s="99"/>
      <c r="D46" s="99"/>
      <c r="E46" s="99"/>
      <c r="F46" s="99"/>
      <c r="G46" s="99"/>
      <c r="H46" s="100"/>
      <c r="I46" s="1"/>
    </row>
    <row r="47" spans="1:9" x14ac:dyDescent="0.25">
      <c r="A47" s="1"/>
      <c r="B47" s="101" t="s">
        <v>114</v>
      </c>
      <c r="C47" s="102"/>
      <c r="D47" s="102"/>
      <c r="E47" s="102"/>
      <c r="F47" s="103"/>
      <c r="G47" s="22">
        <f>(G41+G42-G43)*(1+'Fane 13. Nøgletal'!C15)</f>
        <v>16158954.834085088</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102735.74575936</v>
      </c>
      <c r="H48" s="14" t="s">
        <v>3</v>
      </c>
      <c r="I48" s="1"/>
    </row>
    <row r="49" spans="1:9" x14ac:dyDescent="0.25">
      <c r="A49" s="1"/>
      <c r="B49" s="101" t="s">
        <v>211</v>
      </c>
      <c r="C49" s="102"/>
      <c r="D49" s="102"/>
      <c r="E49" s="102"/>
      <c r="F49" s="103"/>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98" t="s">
        <v>130</v>
      </c>
      <c r="C52" s="99"/>
      <c r="D52" s="99"/>
      <c r="E52" s="99"/>
      <c r="F52" s="99"/>
      <c r="G52" s="99"/>
      <c r="H52" s="100"/>
      <c r="I52" s="1"/>
    </row>
    <row r="53" spans="1:9" x14ac:dyDescent="0.25">
      <c r="A53" s="1"/>
      <c r="B53" s="101" t="s">
        <v>131</v>
      </c>
      <c r="C53" s="102"/>
      <c r="D53" s="102"/>
      <c r="E53" s="102"/>
      <c r="F53" s="103"/>
      <c r="G53" s="22">
        <f>(G47+G48-G49)*(1+'Fane 13. Nøgletal'!C16)</f>
        <v>17575635.17869588</v>
      </c>
      <c r="H53" s="14" t="s">
        <v>3</v>
      </c>
      <c r="I53" s="1"/>
    </row>
    <row r="54" spans="1:9" x14ac:dyDescent="0.25">
      <c r="A54" s="1"/>
      <c r="B54" s="101" t="s">
        <v>132</v>
      </c>
      <c r="C54" s="102"/>
      <c r="D54" s="102"/>
      <c r="E54" s="102"/>
      <c r="F54" s="103"/>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98" t="s">
        <v>147</v>
      </c>
      <c r="C57" s="99"/>
      <c r="D57" s="99"/>
      <c r="E57" s="99"/>
      <c r="F57" s="99"/>
      <c r="G57" s="99"/>
      <c r="H57" s="100"/>
      <c r="I57" s="1"/>
    </row>
    <row r="58" spans="1:9" x14ac:dyDescent="0.25">
      <c r="A58" s="1"/>
      <c r="B58" s="101" t="s">
        <v>148</v>
      </c>
      <c r="C58" s="102"/>
      <c r="D58" s="102"/>
      <c r="E58" s="102"/>
      <c r="F58" s="103"/>
      <c r="G58" s="22">
        <f>(G53-G54)*(1+'Fane 13. Nøgletal'!C16)</f>
        <v>18995746.501134507</v>
      </c>
      <c r="H58" s="14" t="s">
        <v>3</v>
      </c>
      <c r="I58" s="1"/>
    </row>
    <row r="59" spans="1:9" x14ac:dyDescent="0.25">
      <c r="A59" s="1"/>
      <c r="B59" s="101" t="s">
        <v>149</v>
      </c>
      <c r="C59" s="102"/>
      <c r="D59" s="102"/>
      <c r="E59" s="102"/>
      <c r="F59" s="103"/>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98" t="s">
        <v>223</v>
      </c>
      <c r="C62" s="99"/>
      <c r="D62" s="99"/>
      <c r="E62" s="99"/>
      <c r="F62" s="99"/>
      <c r="G62" s="99"/>
      <c r="H62" s="100"/>
      <c r="I62" s="1"/>
    </row>
    <row r="63" spans="1:9" x14ac:dyDescent="0.25">
      <c r="A63" s="1"/>
      <c r="B63" s="101" t="s">
        <v>224</v>
      </c>
      <c r="C63" s="102"/>
      <c r="D63" s="102"/>
      <c r="E63" s="102"/>
      <c r="F63" s="103"/>
      <c r="G63" s="22">
        <f>(G58-G59)*(1+'Fane 13. Nøgletal'!C16)</f>
        <v>20530602.818426177</v>
      </c>
      <c r="H63" s="14" t="s">
        <v>3</v>
      </c>
      <c r="I63" s="1"/>
    </row>
    <row r="64" spans="1:9" x14ac:dyDescent="0.25">
      <c r="A64" s="1"/>
      <c r="B64" s="101" t="s">
        <v>225</v>
      </c>
      <c r="C64" s="102"/>
      <c r="D64" s="102"/>
      <c r="E64" s="102"/>
      <c r="F64" s="103"/>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az4ePflsobkO+L6DQOzRClXkGVct6QwCTrlclOeLqGRxKJHcwlPZPBDkBB6ZZdlq1KA6Oq5xEXJhOhQJiNu4dA==" saltValue="oEYxKaVIcfK0SaRfJ5qiww=="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98" t="s">
        <v>9</v>
      </c>
      <c r="C8" s="99"/>
      <c r="D8" s="99"/>
      <c r="E8" s="99"/>
      <c r="F8" s="99"/>
      <c r="G8" s="100"/>
      <c r="H8" s="1"/>
    </row>
    <row r="9" spans="1:8" x14ac:dyDescent="0.25">
      <c r="A9" s="1"/>
      <c r="B9" s="62" t="s">
        <v>150</v>
      </c>
      <c r="C9" s="63"/>
      <c r="D9" s="63"/>
      <c r="E9" s="63"/>
      <c r="F9" s="64"/>
      <c r="G9" s="51">
        <v>0</v>
      </c>
      <c r="H9" s="1"/>
    </row>
    <row r="10" spans="1:8" x14ac:dyDescent="0.25">
      <c r="A10" s="1"/>
      <c r="B10" s="52"/>
      <c r="C10" s="53"/>
      <c r="D10" s="53"/>
      <c r="E10" s="53"/>
      <c r="F10" s="53"/>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R3yS1wJXFX8bE2UtjXGvcVPAu5UUPpVIoiQ4emKZ5SnarkxlAmFfTzhMoOvFKGrSZ0vVojFyFEAo+Fx/a+R2wA==" saltValue="1KnUwp6pkBHsspwtbnFeyA=="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2023-08-17T12:11:31Z</dcterms:modified>
</cp:coreProperties>
</file>