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Denne_projektmappe" defaultThemeVersion="124226"/>
  <mc:AlternateContent xmlns:mc="http://schemas.openxmlformats.org/markup-compatibility/2006">
    <mc:Choice Requires="x15">
      <x15ac:absPath xmlns:x15ac="http://schemas.microsoft.com/office/spreadsheetml/2010/11/ac" url="E:\VAND\Sagsbehandling\Spildevand\FORS Spildevand Roskilde AS (S080)\ØR2024\"/>
    </mc:Choice>
  </mc:AlternateContent>
  <xr:revisionPtr revIDLastSave="0" documentId="13_ncr:1_{95F7494F-D715-4D49-B841-30DB83E7F76B}"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4" r:id="rId11"/>
    <sheet name="Fane 8. Skattesagen" sheetId="41" r:id="rId12"/>
    <sheet name="Fane 9. Korrektion af ØR2022"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Tabel_Fane_13">'Fane 13. Tilknyttet virksomhed'!$B$8:$F$14</definedName>
    <definedName name="Tabel_Fane_14">'Fane 14. Bortfald'!$B$9:$F$13</definedName>
    <definedName name="Tabel_Fane_2_1">'Fane 2.1. Økonomisk ramme 2024'!$B$8:$D$37</definedName>
    <definedName name="Tabel_Fane_2_2">'Fane 2.2. Økonomisk ramme 2025'!$B$8:$D$23</definedName>
    <definedName name="Tabel_Fane_2_3">'Fane 2.3. Økonomisk ramme 2026'!$B$8:$D$23</definedName>
    <definedName name="Tabel_Fane_2_4">'Fane 2.4. Økonomisk ramme 2027'!$B$8:$D$23</definedName>
    <definedName name="Tabel_Fane_3">'Fane 3. Omkostninger i ØR2023'!$B$8:$D$38</definedName>
    <definedName name="Tabel_Fane_8">'Fane 8. Skattesagen'!$B$8:$H$18</definedName>
  </definedNames>
  <calcPr calcId="191029" iterateDelta="1E-4"/>
</workbook>
</file>

<file path=xl/calcChain.xml><?xml version="1.0" encoding="utf-8"?>
<calcChain xmlns="http://schemas.openxmlformats.org/spreadsheetml/2006/main">
  <c r="E16" i="44" l="1"/>
  <c r="E17" i="44"/>
  <c r="E25" i="44" l="1"/>
  <c r="E18" i="44"/>
  <c r="E29" i="44" l="1"/>
  <c r="E31" i="44" s="1"/>
  <c r="C9" i="2"/>
  <c r="C20" i="15" l="1"/>
  <c r="C32" i="2"/>
  <c r="E30" i="20"/>
  <c r="E29" i="20"/>
  <c r="E31" i="20" s="1"/>
  <c r="E24" i="20"/>
  <c r="E23" i="20"/>
  <c r="E25" i="20" s="1"/>
  <c r="G18" i="41" l="1"/>
  <c r="E17" i="20" l="1"/>
  <c r="E11" i="20"/>
  <c r="C22" i="23" l="1"/>
  <c r="C22" i="22"/>
  <c r="C22" i="15"/>
  <c r="C36" i="2"/>
  <c r="C13" i="29" l="1"/>
  <c r="C14" i="29" s="1"/>
  <c r="E13" i="29"/>
  <c r="E14" i="29" s="1"/>
  <c r="E13" i="39"/>
  <c r="E14" i="39" s="1"/>
  <c r="C13" i="39"/>
  <c r="C14" i="39" s="1"/>
  <c r="J11" i="11"/>
  <c r="H11" i="11"/>
  <c r="C20" i="19"/>
  <c r="C21" i="19" s="1"/>
  <c r="C16" i="23" l="1"/>
  <c r="C16" i="15"/>
  <c r="C16" i="22"/>
  <c r="F10" i="11"/>
  <c r="F11" i="11" s="1"/>
  <c r="C12" i="21" l="1"/>
  <c r="C13" i="21" s="1"/>
  <c r="C12" i="2" l="1"/>
  <c r="C15" i="2" l="1"/>
  <c r="C14" i="2"/>
  <c r="G6" i="36" l="1"/>
  <c r="C26" i="2" l="1"/>
  <c r="C28" i="2" s="1"/>
  <c r="C27" i="2" l="1"/>
  <c r="C29" i="2" s="1"/>
  <c r="C30" i="2" l="1"/>
  <c r="C18" i="22" l="1"/>
  <c r="C22" i="2"/>
  <c r="C18" i="23" l="1"/>
  <c r="E16" i="40"/>
  <c r="E12" i="40" l="1"/>
  <c r="G7" i="30" l="1"/>
  <c r="G11" i="30" s="1"/>
  <c r="E18" i="20" l="1"/>
  <c r="E12" i="20"/>
  <c r="E13" i="20" s="1"/>
  <c r="E19" i="20" l="1"/>
  <c r="C18" i="15" s="1"/>
  <c r="C24" i="2"/>
  <c r="E17" i="40"/>
  <c r="C34" i="2" s="1"/>
  <c r="E12" i="21" l="1"/>
  <c r="E13" i="21" s="1"/>
  <c r="C13" i="2" l="1"/>
  <c r="G10" i="36" l="1"/>
  <c r="G13" i="36" l="1"/>
  <c r="G17" i="36" s="1"/>
  <c r="G19" i="36" s="1"/>
  <c r="G15" i="30" l="1"/>
  <c r="G19" i="30" s="1"/>
  <c r="G23" i="36" l="1"/>
  <c r="G25" i="36" s="1"/>
  <c r="G21" i="30"/>
  <c r="G29" i="36" l="1"/>
  <c r="G31" i="36" s="1"/>
  <c r="G25" i="30"/>
  <c r="C10" i="37" l="1"/>
  <c r="C19" i="37" s="1"/>
  <c r="C20" i="37" s="1"/>
  <c r="C10" i="2" l="1"/>
  <c r="G35" i="36"/>
  <c r="G53" i="30" l="1"/>
  <c r="G37" i="36"/>
  <c r="G41" i="36" l="1"/>
  <c r="G27" i="30"/>
  <c r="G43" i="36" l="1"/>
  <c r="G31" i="30"/>
  <c r="E10" i="37"/>
  <c r="E19" i="37" s="1"/>
  <c r="E20" i="37" s="1"/>
  <c r="G53" i="36" l="1"/>
  <c r="G33" i="30"/>
  <c r="G37" i="30" s="1"/>
  <c r="G39" i="30" l="1"/>
  <c r="G43" i="30" s="1"/>
  <c r="C11" i="2"/>
  <c r="G45" i="30" l="1"/>
  <c r="G54" i="36"/>
  <c r="C19" i="2" s="1"/>
  <c r="G52" i="30" l="1"/>
  <c r="G54" i="30" s="1"/>
  <c r="G58" i="30" s="1"/>
  <c r="G59" i="36"/>
  <c r="G60" i="36" s="1"/>
  <c r="C13" i="15" s="1"/>
  <c r="C16" i="2"/>
  <c r="C17" i="2" s="1"/>
  <c r="C18" i="2" l="1"/>
  <c r="C20" i="2" s="1"/>
  <c r="G64" i="36"/>
  <c r="G65" i="36" s="1"/>
  <c r="C13" i="22" s="1"/>
  <c r="G69" i="36" l="1"/>
  <c r="G70" i="36" s="1"/>
  <c r="C13" i="23" s="1"/>
  <c r="G59" i="30"/>
  <c r="G63" i="30" s="1"/>
  <c r="G64" i="30" l="1"/>
  <c r="G68" i="30" s="1"/>
  <c r="C12" i="15"/>
  <c r="C37" i="2"/>
  <c r="G69" i="30" l="1"/>
  <c r="C12" i="23" s="1"/>
  <c r="C12" i="22"/>
  <c r="C9" i="15"/>
  <c r="C10" i="15" l="1"/>
  <c r="C11" i="15" s="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<sst xmlns="http://schemas.openxmlformats.org/spreadsheetml/2006/main" count="655" uniqueCount="291">
  <si>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</si>
  <si>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</si>
  <si>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</si>
  <si>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</si>
  <si>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</si>
  <si>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</si>
  <si>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</si>
  <si>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</si>
  <si>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</si>
  <si>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</si>
  <si>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</si>
  <si>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</si>
  <si>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</si>
  <si>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</si>
  <si>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</si>
  <si>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</si>
  <si>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</si>
  <si>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</si>
  <si>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</si>
  <si>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</si>
  <si>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</si>
  <si>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</si>
  <si>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</si>
  <si>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</si>
  <si>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</si>
  <si>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</si>
  <si>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</si>
  <si>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</si>
  <si>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</si>
  <si>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</si>
  <si>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</si>
  <si>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</si>
  <si>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</si>
  <si>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</si>
  <si>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</si>
  <si>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</si>
  <si>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</si>
  <si>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</si>
  <si>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</si>
  <si>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</si>
  <si>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</si>
  <si>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</si>
  <si>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</si>
  <si>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</si>
  <si>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</si>
  <si>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</si>
  <si>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</si>
  <si>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</si>
  <si>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</si>
  <si>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</si>
  <si>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</si>
  <si>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</si>
  <si>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</si>
  <si>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</si>
  <si>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</si>
  <si>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</si>
  <si>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</si>
  <si>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</si>
  <si>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</si>
  <si>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</si>
  <si>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</si>
  <si>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</si>
  <si>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</si>
  <si>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</si>
  <si>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</si>
  <si>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</si>
  <si>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</si>
  <si>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</si>
  <si>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driftsomkostninger til de vejledende økonomiske rammer for 2022</t>
  </si>
  <si>
    <t>Nye varige tillæg</t>
  </si>
  <si>
    <t>Engangstillæg - Anlæg</t>
  </si>
  <si>
    <t>Fane 7</t>
  </si>
  <si>
    <t>Varige tillæg</t>
  </si>
  <si>
    <t>Engangstillæg</t>
  </si>
  <si>
    <t>Periodevise driftsomkostninger</t>
  </si>
  <si>
    <t>Engangstillæg i alt</t>
  </si>
  <si>
    <t>Fane 5: Individuelt effektiviseringskrav</t>
  </si>
  <si>
    <t>Bortfald eller nedsættelse i alt i 2022-prisniveau</t>
  </si>
  <si>
    <t>Korrektion af tidligere godkendte omkostninger til medfinansiering af klimatilpasningsprojekter</t>
  </si>
  <si>
    <t>Generelt effektiviseringskrav på drift</t>
  </si>
  <si>
    <t>Generelt effektiviseringskrav på anlæg</t>
  </si>
  <si>
    <t>Tillæg til tilbagebetaling af vejbidrag</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</si>
  <si>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</si>
  <si>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</si>
  <si>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</si>
  <si>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</si>
  <si>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</si>
  <si>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</si>
  <si>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</si>
  <si>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</si>
  <si>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</si>
  <si>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</si>
  <si>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</si>
  <si>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</si>
  <si>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</si>
  <si>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</si>
  <si>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</si>
  <si>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</si>
  <si>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</si>
  <si>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</si>
  <si>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</si>
  <si>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</si>
  <si>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</si>
  <si>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</si>
  <si>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</si>
  <si>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Tidligere tilknyttet virksomhed - Drift</t>
  </si>
  <si>
    <t>Tidligere tilknyttet virksomhed - Anlæg</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</si>
  <si>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</si>
  <si>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</si>
  <si>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</si>
  <si>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</si>
  <si>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</si>
  <si>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</si>
  <si>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</si>
  <si>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</si>
  <si>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</si>
  <si>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</si>
  <si>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</si>
  <si>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</si>
  <si>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</si>
  <si>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</si>
  <si>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</si>
  <si>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</si>
  <si>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Tillæg til den økonomiske ramme for 2025</t>
  </si>
  <si>
    <t>Periodevise driftsomkostninger til de økonomiske rammer for 2025</t>
  </si>
  <si>
    <t>Periodevise driftsomkostninger i alt i 2025-prisniveau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</si>
  <si>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</si>
  <si>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</si>
  <si>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</si>
  <si>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</si>
  <si>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Generelt effektiviseringskrav til anlægsomkostninger i de økonomiske rammer for 2022</t>
  </si>
  <si>
    <t>Generelt effektiviseringskrav til anlægsomkostningerne i ØR22</t>
  </si>
  <si>
    <t>Generelt effektiviseringskrav til anlægsomkostningerne i ØR23</t>
  </si>
  <si>
    <t>Prisudvikling til brug for ØR2022-2023</t>
  </si>
  <si>
    <t>Prisudvikling til brug for nye omkostninger i ØR2020</t>
  </si>
  <si>
    <t xml:space="preserve">Indtægter fra tilbagebetalt skat eller sambeskatningsbidrag som følge af skattesagen </t>
  </si>
  <si>
    <t xml:space="preserve">Nedsættelse af økonomisk ramme som følge af skattesagen </t>
  </si>
  <si>
    <t>Tidligere opgjorte over/underdækninger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</si>
  <si>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</si>
  <si>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</si>
  <si>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</si>
  <si>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</si>
  <si>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</si>
  <si>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Over/underdækning i 2020</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</si>
  <si>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</si>
  <si>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</si>
  <si>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</si>
  <si>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</si>
  <si>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</si>
  <si>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Anlægsprojekter igangsat senest den 1. marts 2016</t>
  </si>
  <si>
    <t>Anlægsprojekter igangsat senest den 1. marts 2016 i alt</t>
  </si>
  <si>
    <t>Generelt effektiviseringskrav til anlægsomkostninger i de økonomiske rammer for 2023</t>
  </si>
  <si>
    <t>Prisudvikling til brug for ØR2023-2024</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</si>
  <si>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</si>
  <si>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</si>
  <si>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</si>
  <si>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</si>
  <si>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</si>
  <si>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</si>
  <si>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</si>
  <si>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</si>
  <si>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</si>
  <si>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</si>
  <si>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</si>
  <si>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</si>
  <si>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</si>
  <si>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</si>
  <si>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</si>
  <si>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</si>
  <si>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</si>
  <si>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</si>
  <si>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</si>
  <si>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</si>
  <si>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</si>
  <si>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</si>
  <si>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</si>
  <si>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</si>
  <si>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</si>
  <si>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</si>
  <si>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</si>
  <si>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</si>
  <si>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</si>
  <si>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</si>
  <si>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</si>
  <si>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</si>
  <si>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</si>
  <si>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</si>
  <si>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</si>
  <si>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</si>
  <si>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</si>
  <si>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Prisudvikling til brug for ØR2024-2025</t>
  </si>
  <si>
    <t>Generelt effektiviseringskrav til brug for anlægsomkostninger i ØR2024</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</si>
  <si>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</si>
  <si>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</si>
  <si>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</si>
  <si>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</si>
  <si>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2024</t>
  </si>
  <si>
    <t>Samlet økonomisk ramme for 2025</t>
  </si>
  <si>
    <t>Omkostninger i ØR2023</t>
  </si>
  <si>
    <t>Kontrol af den økonomiske ramme for 2022</t>
  </si>
  <si>
    <t>Korrektion af den økonomiske ramme for 2022</t>
  </si>
  <si>
    <t>Fane 2.1: Samlet økonomisk ramme for 2024</t>
  </si>
  <si>
    <t>Fane 2.2: Samlet økonomisk ramme for 2025</t>
  </si>
  <si>
    <t>Fane 2.3: Samlet økonomisk ramme for 2026</t>
  </si>
  <si>
    <t>Fane 2.4: Samlet økonomisk ramme for 2027</t>
  </si>
  <si>
    <t>Fane 3: Videreførte omkostninger fra den økonomiske ramme for 2023</t>
  </si>
  <si>
    <t>Fane 7: Kontrol med overholdelse af den økonomiske ramme for 2022</t>
  </si>
  <si>
    <t>Fane 9: Korrektioner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</si>
  <si>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</si>
  <si>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</si>
  <si>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</si>
  <si>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</si>
  <si>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</si>
  <si>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driftsomkostninger til de økonomiske rammer for 2026</t>
  </si>
  <si>
    <t>Generelt effektiviseringskrav til driftsomkostningerne i ØR26</t>
  </si>
  <si>
    <t>Base for anlægsomkostninger til de økonomiske rammer for 2022</t>
  </si>
  <si>
    <t>Base for anlægsomkostninger til de økonomiske rammer for 2023</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</si>
  <si>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</si>
  <si>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</si>
  <si>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</si>
  <si>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</si>
  <si>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Base for anlægsomkostninger til de økonomiske rammer for 2026</t>
  </si>
  <si>
    <t>Generelt effektiviseringskrav til anlægsomkostningerne i ØR26</t>
  </si>
  <si>
    <t>Generelt effektiviseringskrav til anlægsomkostninger i de vejledende økonomiske rammer for 2027</t>
  </si>
  <si>
    <t>Faktiske ikke-påvirkelige omkostninger i 2022</t>
  </si>
  <si>
    <t>Omkostninger i 2022</t>
  </si>
  <si>
    <t>Ikke-påvirkelige omkostninger i 2022-prisniveau</t>
  </si>
  <si>
    <t>Ikke-påvirkelige omkostninger i 2024-prisniveau</t>
  </si>
  <si>
    <t>Korrektion af periodevise driftsomkostninger i de økonomiske rammer for 2022</t>
  </si>
  <si>
    <t>Faktisk periodevis driftsomkostning i 2022</t>
  </si>
  <si>
    <t>Tidligere godkendt tillæg indregnet i den økonomiske ramme for 2022</t>
  </si>
  <si>
    <t>Faktisk omkostning til medfinansiering af klimatilpasningsprojekter i 2022</t>
  </si>
  <si>
    <t>Korrektioner af den økonomiske ramme for 2022 i alt</t>
  </si>
  <si>
    <t>Nye tillæg i alt i 2023-prisniveau</t>
  </si>
  <si>
    <t>Engangstillæg i alt i 2022-prisniveau</t>
  </si>
  <si>
    <t>Engangstillæg i alt i 2024-prisniveau</t>
  </si>
  <si>
    <t>Periodevise driftsomkostninger i alt i 2022-prisniveau</t>
  </si>
  <si>
    <t>Periodevise driftsomkostninger til de økonomiske rammer for 2027</t>
  </si>
  <si>
    <t>Periodevise driftsomkostninger i alt i 2027-prisniveau</t>
  </si>
  <si>
    <t>Tilknyttet virksomhed under hovedvirksomheden i alt (2023-prisniveau)</t>
  </si>
  <si>
    <t>Bortfald eller nedsættelse fra og med de økonomiske rammer for 2024</t>
  </si>
  <si>
    <t>Bortfald eller nedsættelse i alt i 2023-prisniveau</t>
  </si>
  <si>
    <t>Nye varige driftsomkostninger til de økonomiske rammer for 2022</t>
  </si>
  <si>
    <t>Nye varige driftsomkostninger til de økonomiske rammer for 2021</t>
  </si>
  <si>
    <t>Nye varige driftsomkostninger til de økonomiske rammer for 2018</t>
  </si>
  <si>
    <t>Nye varige driftsomkostninger til de økonomiske rammer for 2019</t>
  </si>
  <si>
    <t>Nye varige driftsomkostninger til de økonomiske rammer for 2020</t>
  </si>
  <si>
    <t>Nye varige anlægsomkostninger til de økonomiske rammer for 2018</t>
  </si>
  <si>
    <t>Nye varige anlægsomkostninger til de økonomiske rammer for 2019</t>
  </si>
  <si>
    <t>Nye varige anlægsomkostninger til de økonomiske rammer for 2020</t>
  </si>
  <si>
    <t>Nye varige anlægsomkostninger til de økonomiske rammer for 2021</t>
  </si>
  <si>
    <t>Nye varige anlægsomkostninger til de økonomiske rammer for 2022</t>
  </si>
  <si>
    <t>Til økonomiske rammer for 2024-2025</t>
  </si>
  <si>
    <t>Vejledende</t>
  </si>
  <si>
    <t>Oversigt over den økonomiske ramme for 2023</t>
  </si>
  <si>
    <t>Videreførte omkostninger fra den økonomiske ramme for 2022</t>
  </si>
  <si>
    <t>Generelt effektiviseringskrav til driftsomkostninger i de vejledende økonomiske rammer for 2026</t>
  </si>
  <si>
    <t>Generelt effektiviseringskrav til driftsomkostninger i de vejledene økonomiske rammer for 2027</t>
  </si>
  <si>
    <t>Generelt effektiviseringskrav til anlægsomkostninger i de økonomiske rammer for 2025</t>
  </si>
  <si>
    <t>Generelt effektiviseringskrav til anlægsomkostninger i de økonomiske rammer for 2024</t>
  </si>
  <si>
    <t>Engangstillæg til den økonomiske ramme for 2024</t>
  </si>
  <si>
    <t>Tillæg til den økonomiske ramme for 2027</t>
  </si>
  <si>
    <t>Vejledende økonomisk ramme for 2026</t>
  </si>
  <si>
    <t>Vejledende økonomisk ramme for 2027</t>
  </si>
  <si>
    <t>Note: Beregningen af jeres individuelle effektiviseringskrav fremgår af metodepapir samt bilag til benchmarkingmodellen 2024.</t>
  </si>
  <si>
    <t>Ingen anlægsprojekter</t>
  </si>
  <si>
    <t>Korrektion af den økonomiske ramme for 2021</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</si>
  <si>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</si>
  <si>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</si>
  <si>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</si>
  <si>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</si>
  <si>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Individuelt effektiviseringskrav til de økonomiske rammer for 2024-2025</t>
  </si>
  <si>
    <t>FSR- Byggemodninger 2022</t>
  </si>
  <si>
    <t>Ingen engangstillæg</t>
  </si>
  <si>
    <t>Over/underdækning i 2019</t>
  </si>
  <si>
    <t>Over/underdækning i 2021</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</si>
  <si>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</si>
  <si>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2024-2025 vedr. overdækning i 2021</t>
  </si>
  <si>
    <t>Evt. overdækning i 2021</t>
  </si>
  <si>
    <t>Evt. underdækning i 2020</t>
  </si>
  <si>
    <t>Fradrag i de økonomiske rammer for 2024-2025 vedr. en evt. overdækning i 2021</t>
  </si>
  <si>
    <t>Kontrol med overholdelse af den økonomiske ramme for 2022</t>
  </si>
  <si>
    <t>Indtægtsramme i den økonomiske ramme for 2022</t>
  </si>
  <si>
    <t>Faktiske indtægter i 2022</t>
  </si>
  <si>
    <t>Resultat af kontrol med overholdelse af den økonomiske rammer for 2022</t>
  </si>
  <si>
    <t>Samlet fradrag til indregning i de økonomiske rammer for 2024-2025</t>
  </si>
  <si>
    <t>Spildevandsafgift</t>
  </si>
  <si>
    <t>Afgift til Forsyningssekretariatet</t>
  </si>
  <si>
    <t>Køb af ydelser og produkter fra andre vandselskaber</t>
  </si>
  <si>
    <t>Ejendomsskat</t>
  </si>
  <si>
    <t>Erstatninger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</si>
</sst>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_ * #,##0_ ;_ * \-#,##0_ ;_ * &quot;-&quot;??_ ;_ @_ "/>
    <numFmt numFmtId="167"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9"/>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4">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8" borderId="3" xfId="0"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164" fontId="0" fillId="2" borderId="0" xfId="0" applyNumberFormat="1" applyFill="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3" xfId="0" applyNumberFormat="1" applyFont="1" applyFill="1" applyBorder="1" applyAlignment="1" applyProtection="1">
      <alignment horizontal="right"/>
    </xf>
    <xf numFmtId="167" fontId="8" fillId="8" borderId="1" xfId="1" applyNumberFormat="1" applyFont="1" applyFill="1" applyBorder="1" applyProtection="1"/>
    <xf numFmtId="10" fontId="8" fillId="10" borderId="3" xfId="4" applyNumberFormat="1" applyFont="1" applyFill="1" applyBorder="1" applyProtection="1"/>
    <xf numFmtId="0" fontId="8" fillId="0" borderId="1" xfId="0" applyFont="1" applyFill="1" applyBorder="1" applyAlignment="1" applyProtection="1"/>
    <xf numFmtId="167" fontId="8" fillId="8" borderId="1" xfId="0" applyNumberFormat="1" applyFont="1" applyFill="1" applyBorder="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167" fontId="8" fillId="8" borderId="2" xfId="1" quotePrefix="1" applyNumberFormat="1" applyFont="1" applyFill="1" applyBorder="1" applyAlignment="1" applyProtection="1">
      <alignment horizontal="right" wrapText="1"/>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wrapText="1"/>
    </xf>
    <xf numFmtId="1" fontId="8" fillId="8" borderId="2" xfId="1" quotePrefix="1" applyNumberFormat="1" applyFont="1" applyFill="1" applyBorder="1" applyAlignment="1" applyProtection="1">
      <alignment horizontal="right" wrapText="1"/>
    </xf>
    <xf numFmtId="1" fontId="8" fillId="8" borderId="1" xfId="1" applyNumberFormat="1" applyFont="1" applyFill="1" applyBorder="1" applyProtection="1"/>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8" borderId="2" xfId="0" quotePrefix="1" applyFont="1" applyFill="1" applyBorder="1" applyAlignment="1" applyProtection="1">
      <alignment horizontal="left" wrapText="1"/>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15" fillId="8" borderId="1" xfId="0" applyFont="1" applyFill="1" applyBorder="1" applyAlignment="1" applyProtection="1">
      <alignment horizontal="left" vertical="center"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9.8554687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3" t="s">
        <v>4</v>
      </c>
      <c r="E6" s="93"/>
      <c r="F6" s="93"/>
      <c r="G6" s="93"/>
      <c r="H6" s="3"/>
      <c r="I6" s="1"/>
    </row>
    <row r="7" spans="1:9" ht="15" customHeight="1" x14ac:dyDescent="0.25">
      <c r="A7" s="1"/>
      <c r="B7" s="1"/>
      <c r="C7" s="3"/>
      <c r="D7" s="93"/>
      <c r="E7" s="93"/>
      <c r="F7" s="93"/>
      <c r="G7" s="93"/>
      <c r="H7" s="3"/>
      <c r="I7" s="1"/>
    </row>
    <row r="8" spans="1:9" ht="15.75" x14ac:dyDescent="0.25">
      <c r="A8" s="1"/>
      <c r="B8" s="1"/>
      <c r="C8" s="4"/>
      <c r="D8" s="101" t="s">
        <v>252</v>
      </c>
      <c r="E8" s="101"/>
      <c r="F8" s="101"/>
      <c r="G8" s="101"/>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0" t="s">
        <v>5</v>
      </c>
      <c r="E11" s="100"/>
      <c r="F11" s="100"/>
      <c r="G11" s="100"/>
      <c r="H11" s="5"/>
      <c r="I11" s="1"/>
    </row>
    <row r="12" spans="1:9" x14ac:dyDescent="0.25">
      <c r="A12" s="1"/>
      <c r="B12" s="1"/>
      <c r="C12" s="1"/>
      <c r="D12" s="1"/>
      <c r="E12" s="1"/>
      <c r="F12" s="1"/>
      <c r="G12" s="1"/>
      <c r="H12" s="5"/>
      <c r="I12" s="1"/>
    </row>
    <row r="13" spans="1:9" x14ac:dyDescent="0.25">
      <c r="A13" s="1"/>
      <c r="B13" s="1"/>
      <c r="C13" s="6" t="s">
        <v>6</v>
      </c>
      <c r="D13" s="105" t="s">
        <v>196</v>
      </c>
      <c r="E13" s="106"/>
      <c r="F13" s="106"/>
      <c r="G13" s="107"/>
      <c r="H13" s="5"/>
      <c r="I13" s="1"/>
    </row>
    <row r="14" spans="1:9" x14ac:dyDescent="0.25">
      <c r="A14" s="1"/>
      <c r="B14" s="1"/>
      <c r="C14" s="6" t="s">
        <v>16</v>
      </c>
      <c r="D14" s="90" t="s">
        <v>197</v>
      </c>
      <c r="E14" s="91"/>
      <c r="F14" s="91"/>
      <c r="G14" s="92"/>
      <c r="H14" s="5"/>
      <c r="I14" s="1"/>
    </row>
    <row r="15" spans="1:9" x14ac:dyDescent="0.25">
      <c r="A15" s="1"/>
      <c r="B15" s="1"/>
      <c r="C15" s="6" t="s">
        <v>31</v>
      </c>
      <c r="D15" s="90" t="s">
        <v>262</v>
      </c>
      <c r="E15" s="91"/>
      <c r="F15" s="91"/>
      <c r="G15" s="92"/>
      <c r="H15" s="5"/>
      <c r="I15" s="1"/>
    </row>
    <row r="16" spans="1:9" x14ac:dyDescent="0.25">
      <c r="A16" s="1"/>
      <c r="B16" s="1"/>
      <c r="C16" s="6" t="s">
        <v>32</v>
      </c>
      <c r="D16" s="90" t="s">
        <v>263</v>
      </c>
      <c r="E16" s="91"/>
      <c r="F16" s="91"/>
      <c r="G16" s="92"/>
      <c r="H16" s="5"/>
      <c r="I16" s="1"/>
    </row>
    <row r="17" spans="1:9" x14ac:dyDescent="0.25">
      <c r="A17" s="1"/>
      <c r="B17" s="1"/>
      <c r="C17" s="6" t="s">
        <v>101</v>
      </c>
      <c r="D17" s="90" t="s">
        <v>198</v>
      </c>
      <c r="E17" s="91"/>
      <c r="F17" s="91"/>
      <c r="G17" s="92"/>
      <c r="H17" s="5"/>
      <c r="I17" s="1"/>
    </row>
    <row r="18" spans="1:9" x14ac:dyDescent="0.25">
      <c r="A18" s="1"/>
      <c r="B18" s="1"/>
      <c r="C18" s="6" t="s">
        <v>88</v>
      </c>
      <c r="D18" s="102" t="s">
        <v>79</v>
      </c>
      <c r="E18" s="103"/>
      <c r="F18" s="103"/>
      <c r="G18" s="104"/>
      <c r="H18" s="5"/>
      <c r="I18" s="1"/>
    </row>
    <row r="19" spans="1:9" x14ac:dyDescent="0.25">
      <c r="A19" s="1"/>
      <c r="B19" s="1"/>
      <c r="C19" s="6" t="s">
        <v>89</v>
      </c>
      <c r="D19" s="102" t="s">
        <v>80</v>
      </c>
      <c r="E19" s="103"/>
      <c r="F19" s="103"/>
      <c r="G19" s="104"/>
      <c r="H19" s="5"/>
      <c r="I19" s="1"/>
    </row>
    <row r="20" spans="1:9" x14ac:dyDescent="0.25">
      <c r="A20" s="1"/>
      <c r="B20" s="1"/>
      <c r="C20" s="6" t="s">
        <v>7</v>
      </c>
      <c r="D20" s="102" t="s">
        <v>10</v>
      </c>
      <c r="E20" s="103"/>
      <c r="F20" s="103"/>
      <c r="G20" s="104"/>
      <c r="H20" s="5"/>
      <c r="I20" s="1"/>
    </row>
    <row r="21" spans="1:9" x14ac:dyDescent="0.25">
      <c r="A21" s="1"/>
      <c r="B21" s="1"/>
      <c r="C21" s="6" t="s">
        <v>90</v>
      </c>
      <c r="D21" s="94" t="s">
        <v>12</v>
      </c>
      <c r="E21" s="95"/>
      <c r="F21" s="95"/>
      <c r="G21" s="96"/>
      <c r="H21" s="5"/>
      <c r="I21" s="1"/>
    </row>
    <row r="22" spans="1:9" x14ac:dyDescent="0.25">
      <c r="A22" s="1"/>
      <c r="B22" s="1"/>
      <c r="C22" s="6" t="s">
        <v>71</v>
      </c>
      <c r="D22" s="97" t="s">
        <v>199</v>
      </c>
      <c r="E22" s="98"/>
      <c r="F22" s="98"/>
      <c r="G22" s="99"/>
      <c r="H22" s="5"/>
      <c r="I22" s="1"/>
    </row>
    <row r="23" spans="1:9" x14ac:dyDescent="0.25">
      <c r="A23" s="1"/>
      <c r="B23" s="1"/>
      <c r="C23" s="6" t="s">
        <v>8</v>
      </c>
      <c r="D23" s="97" t="s">
        <v>181</v>
      </c>
      <c r="E23" s="98"/>
      <c r="F23" s="98"/>
      <c r="G23" s="99"/>
      <c r="H23" s="5"/>
      <c r="I23" s="1"/>
    </row>
    <row r="24" spans="1:9" x14ac:dyDescent="0.25">
      <c r="A24" s="1"/>
      <c r="B24" s="1"/>
      <c r="C24" s="6" t="s">
        <v>9</v>
      </c>
      <c r="D24" s="97" t="s">
        <v>200</v>
      </c>
      <c r="E24" s="98"/>
      <c r="F24" s="98"/>
      <c r="G24" s="99"/>
      <c r="H24" s="5"/>
      <c r="I24" s="1"/>
    </row>
    <row r="25" spans="1:9" x14ac:dyDescent="0.25">
      <c r="A25" s="1"/>
      <c r="B25" s="1"/>
      <c r="C25" s="6" t="s">
        <v>166</v>
      </c>
      <c r="D25" s="97" t="s">
        <v>160</v>
      </c>
      <c r="E25" s="98"/>
      <c r="F25" s="98"/>
      <c r="G25" s="99"/>
      <c r="H25" s="1"/>
      <c r="I25" s="1"/>
    </row>
    <row r="26" spans="1:9" x14ac:dyDescent="0.25">
      <c r="A26" s="1"/>
      <c r="B26" s="1"/>
      <c r="C26" s="6" t="s">
        <v>167</v>
      </c>
      <c r="D26" s="97" t="s">
        <v>72</v>
      </c>
      <c r="E26" s="98"/>
      <c r="F26" s="98"/>
      <c r="G26" s="99"/>
      <c r="H26" s="1"/>
      <c r="I26" s="1"/>
    </row>
    <row r="27" spans="1:9" x14ac:dyDescent="0.25">
      <c r="A27" s="1"/>
      <c r="B27" s="1"/>
      <c r="C27" s="6" t="s">
        <v>168</v>
      </c>
      <c r="D27" s="97" t="s">
        <v>73</v>
      </c>
      <c r="E27" s="98"/>
      <c r="F27" s="98"/>
      <c r="G27" s="99"/>
      <c r="H27" s="1"/>
      <c r="I27" s="1"/>
    </row>
    <row r="28" spans="1:9" x14ac:dyDescent="0.25">
      <c r="A28" s="1"/>
      <c r="B28" s="1"/>
      <c r="C28" s="6" t="s">
        <v>15</v>
      </c>
      <c r="D28" s="97" t="s">
        <v>74</v>
      </c>
      <c r="E28" s="98"/>
      <c r="F28" s="98"/>
      <c r="G28" s="99"/>
      <c r="H28" s="1"/>
      <c r="I28" s="1"/>
    </row>
    <row r="29" spans="1:9" x14ac:dyDescent="0.25">
      <c r="A29" s="1"/>
      <c r="B29" s="1"/>
      <c r="C29" s="6" t="s">
        <v>34</v>
      </c>
      <c r="D29" s="97" t="s">
        <v>114</v>
      </c>
      <c r="E29" s="98"/>
      <c r="F29" s="98"/>
      <c r="G29" s="99"/>
      <c r="H29" s="1"/>
      <c r="I29" s="1"/>
    </row>
    <row r="30" spans="1:9" x14ac:dyDescent="0.25">
      <c r="A30" s="1"/>
      <c r="B30" s="1"/>
      <c r="C30" s="6" t="s">
        <v>35</v>
      </c>
      <c r="D30" s="97" t="s">
        <v>33</v>
      </c>
      <c r="E30" s="98"/>
      <c r="F30" s="98"/>
      <c r="G30" s="99"/>
      <c r="H30" s="1"/>
      <c r="I30" s="1"/>
    </row>
    <row r="31" spans="1:9" x14ac:dyDescent="0.25">
      <c r="A31" s="1"/>
      <c r="B31" s="1"/>
      <c r="C31" s="6" t="s">
        <v>169</v>
      </c>
      <c r="D31" s="108" t="s">
        <v>87</v>
      </c>
      <c r="E31" s="109"/>
      <c r="F31" s="109"/>
      <c r="G31" s="110"/>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8"/>
      <c r="B51" s="48"/>
      <c r="C51" s="48"/>
      <c r="D51" s="48"/>
      <c r="E51" s="48"/>
      <c r="F51" s="48"/>
      <c r="G51" s="48"/>
      <c r="H51" s="48"/>
      <c r="I51" s="48"/>
    </row>
  </sheetData>
  <sheetProtection algorithmName="SHA-512" hashValue="WG9BQLTbBj27NkyeMHPgq2/6X1HiYE+iKHqsQA3UuIX3QSFAQEHyZpcGTGL74RThHFjS3tpMsg7s48wgcRrsWg==" saltValue="xDFg939VNPeFHP+TGkkI0A==" spinCount="100000" sheet="1" objects="1" scenarios="1"/>
  <mergeCells count="22">
    <mergeCell ref="D30:G30"/>
    <mergeCell ref="D31:G31"/>
    <mergeCell ref="D18:G18"/>
    <mergeCell ref="D25:G25"/>
    <mergeCell ref="D26:G26"/>
    <mergeCell ref="D29:G29"/>
    <mergeCell ref="D27:G27"/>
    <mergeCell ref="D28:G28"/>
    <mergeCell ref="D24:G24"/>
    <mergeCell ref="D23:G23"/>
    <mergeCell ref="D14:G14"/>
    <mergeCell ref="D6:G7"/>
    <mergeCell ref="D21:G21"/>
    <mergeCell ref="D22:G22"/>
    <mergeCell ref="D11:G11"/>
    <mergeCell ref="D8:G8"/>
    <mergeCell ref="D15:G15"/>
    <mergeCell ref="D16:G16"/>
    <mergeCell ref="D19:G19"/>
    <mergeCell ref="D13:G13"/>
    <mergeCell ref="D17:G17"/>
    <mergeCell ref="D20:G20"/>
  </mergeCells>
  <hyperlinks>
    <hyperlink ref="D14:G14" location="'Fane 2.2. Økonomisk ramme 2025'!A1" display="Samlet økonomisk ramme for 2025"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4'!A1" display="Samlet økonomisk ramme for 2024" xr:uid="{00000000-0004-0000-0000-000004000000}"/>
    <hyperlink ref="D16:G16" location="'Fane 2.4. Økonomisk ramme 2027'!A1" display="Samlet økonomisk ramme for 2027" xr:uid="{00000000-0004-0000-0000-000005000000}"/>
    <hyperlink ref="D15:G15" location="'Fane 2.3. Økonomisk ramme 2026'!A1" display="Samlet økonomisk ramme for 2026" xr:uid="{00000000-0004-0000-0000-000006000000}"/>
    <hyperlink ref="D22:G22" location="'Fane 7. Kontrol af ØR2022'!A1" display="Kontrol af den økonomiske ramme for 2022"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3'!A1" display="Omkostninger i ØR2023"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2'!A1" display="Korrektion af den økonomiske ramme for 2022"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Normal="100"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201</v>
      </c>
      <c r="C3" s="111"/>
      <c r="D3" s="111"/>
      <c r="E3" s="1"/>
    </row>
    <row r="4" spans="1:5" ht="15" customHeight="1" x14ac:dyDescent="0.25">
      <c r="A4" s="1"/>
      <c r="B4" s="111"/>
      <c r="C4" s="111"/>
      <c r="D4" s="11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107</v>
      </c>
      <c r="C9" s="7">
        <f>'Fane 3. Omkostninger i ØR2023'!C20</f>
        <v>121669480.63220353</v>
      </c>
      <c r="D9" s="8" t="s">
        <v>3</v>
      </c>
      <c r="E9" s="1"/>
    </row>
    <row r="10" spans="1:5" ht="17.25" customHeight="1" x14ac:dyDescent="0.25">
      <c r="A10" s="1"/>
      <c r="B10" s="89" t="s">
        <v>36</v>
      </c>
      <c r="C10" s="7">
        <f>'Fane 11.1. Varige tillæg'!C20</f>
        <v>44175.538399999998</v>
      </c>
      <c r="D10" s="8" t="s">
        <v>3</v>
      </c>
      <c r="E10" s="1"/>
    </row>
    <row r="11" spans="1:5" ht="17.25" customHeight="1" x14ac:dyDescent="0.25">
      <c r="A11" s="1"/>
      <c r="B11" s="89" t="s">
        <v>37</v>
      </c>
      <c r="C11" s="9">
        <f>'Fane 11.1. Varige tillæg'!E20</f>
        <v>154921.872</v>
      </c>
      <c r="D11" s="8" t="s">
        <v>3</v>
      </c>
      <c r="E11" s="1"/>
    </row>
    <row r="12" spans="1:5" ht="17.25" customHeight="1" x14ac:dyDescent="0.25">
      <c r="A12" s="1"/>
      <c r="B12" s="89" t="s">
        <v>26</v>
      </c>
      <c r="C12" s="9">
        <f>-'Fane 14. Bortfald'!C13</f>
        <v>0</v>
      </c>
      <c r="D12" s="8" t="s">
        <v>3</v>
      </c>
      <c r="E12" s="1"/>
    </row>
    <row r="13" spans="1:5" ht="17.25" customHeight="1" x14ac:dyDescent="0.25">
      <c r="A13" s="1"/>
      <c r="B13" s="89" t="s">
        <v>25</v>
      </c>
      <c r="C13" s="9">
        <f>-'Fane 14. Bortfald'!E13</f>
        <v>0</v>
      </c>
      <c r="D13" s="8" t="s">
        <v>3</v>
      </c>
      <c r="E13" s="1"/>
    </row>
    <row r="14" spans="1:5" ht="17.25" customHeight="1" x14ac:dyDescent="0.25">
      <c r="A14" s="1"/>
      <c r="B14" s="89" t="s">
        <v>105</v>
      </c>
      <c r="C14" s="9">
        <f>'Fane 13. Tilknyttet virksomhed'!C14</f>
        <v>0</v>
      </c>
      <c r="D14" s="8" t="s">
        <v>3</v>
      </c>
      <c r="E14" s="1"/>
    </row>
    <row r="15" spans="1:5" ht="17.25" customHeight="1" x14ac:dyDescent="0.25">
      <c r="A15" s="1"/>
      <c r="B15" s="89" t="s">
        <v>106</v>
      </c>
      <c r="C15" s="9">
        <f>'Fane 13. Tilknyttet virksomhed'!E14</f>
        <v>0</v>
      </c>
      <c r="D15" s="8" t="s">
        <v>3</v>
      </c>
      <c r="E15" s="1"/>
    </row>
    <row r="16" spans="1:5" ht="17.25" customHeight="1" x14ac:dyDescent="0.25">
      <c r="A16" s="1"/>
      <c r="B16" s="89" t="s">
        <v>19</v>
      </c>
      <c r="C16" s="41">
        <f>SUM(C9)*'Fane 15. Nøgletal'!C16+SUM(C10:C15)*'Fane 15. Nøgletal'!C16</f>
        <v>9846981.1058423668</v>
      </c>
      <c r="D16" s="8" t="s">
        <v>3</v>
      </c>
      <c r="E16" s="1"/>
    </row>
    <row r="17" spans="1:5" ht="17.25" customHeight="1" x14ac:dyDescent="0.25">
      <c r="A17" s="1"/>
      <c r="B17" s="89" t="s">
        <v>10</v>
      </c>
      <c r="C17" s="41">
        <f>-SUM(C9,C10:C16)*'Fane 5. Individuelt eff. krav'!G9</f>
        <v>-391160.49304858403</v>
      </c>
      <c r="D17" s="8" t="s">
        <v>3</v>
      </c>
      <c r="E17" s="1"/>
    </row>
    <row r="18" spans="1:5" ht="17.25" customHeight="1" x14ac:dyDescent="0.25">
      <c r="A18" s="1"/>
      <c r="B18" s="89" t="s">
        <v>23</v>
      </c>
      <c r="C18" s="41">
        <f>-'Fane 4.1. Gen. krav - drift'!G54</f>
        <v>-1086508.8822006041</v>
      </c>
      <c r="D18" s="8" t="s">
        <v>3</v>
      </c>
      <c r="E18" s="1"/>
    </row>
    <row r="19" spans="1:5" ht="17.25" customHeight="1" x14ac:dyDescent="0.25">
      <c r="A19" s="1"/>
      <c r="B19" s="89" t="s">
        <v>24</v>
      </c>
      <c r="C19" s="41">
        <f>-'Fane 4.2. Gen. krav - anlæg'!G55</f>
        <v>0</v>
      </c>
      <c r="D19" s="8" t="s">
        <v>3</v>
      </c>
      <c r="E19" s="47"/>
    </row>
    <row r="20" spans="1:5" ht="17.25" customHeight="1" x14ac:dyDescent="0.25">
      <c r="A20" s="1"/>
      <c r="B20" s="83" t="s">
        <v>21</v>
      </c>
      <c r="C20" s="10">
        <f>SUM(C9:C19)</f>
        <v>130237889.77319671</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4322282.2482950399</v>
      </c>
      <c r="D22" s="11" t="s">
        <v>3</v>
      </c>
      <c r="E22" s="1"/>
    </row>
    <row r="23" spans="1:5" ht="15" customHeight="1" x14ac:dyDescent="0.25">
      <c r="A23" s="1"/>
      <c r="B23" s="33" t="s">
        <v>74</v>
      </c>
      <c r="C23" s="28"/>
      <c r="D23" s="19"/>
      <c r="E23" s="1"/>
    </row>
    <row r="24" spans="1:5" ht="15" customHeight="1" x14ac:dyDescent="0.25">
      <c r="A24" s="1"/>
      <c r="B24" s="83" t="s">
        <v>74</v>
      </c>
      <c r="C24" s="10">
        <f>'Fane 12. Periodevise driftsomk.'!E13</f>
        <v>2262150.6331750015</v>
      </c>
      <c r="D24" s="11" t="s">
        <v>3</v>
      </c>
      <c r="E24" s="1"/>
    </row>
    <row r="25" spans="1:5" ht="15" customHeight="1" x14ac:dyDescent="0.25">
      <c r="A25" s="1"/>
      <c r="B25" s="44" t="s">
        <v>73</v>
      </c>
      <c r="C25" s="42"/>
      <c r="D25" s="43"/>
      <c r="E25" s="1"/>
    </row>
    <row r="26" spans="1:5" ht="15" customHeight="1" x14ac:dyDescent="0.25">
      <c r="A26" s="1"/>
      <c r="B26" s="89" t="s">
        <v>158</v>
      </c>
      <c r="C26" s="72">
        <f>'Fane 11.2. Engangstillæg'!C14</f>
        <v>0</v>
      </c>
      <c r="D26" s="8" t="s">
        <v>3</v>
      </c>
      <c r="E26" s="1"/>
    </row>
    <row r="27" spans="1:5" ht="15" customHeight="1" x14ac:dyDescent="0.25">
      <c r="A27" s="1"/>
      <c r="B27" s="89" t="s">
        <v>70</v>
      </c>
      <c r="C27" s="72">
        <f>'Fane 11.2. Engangstillæg'!E14</f>
        <v>0</v>
      </c>
      <c r="D27" s="8" t="s">
        <v>3</v>
      </c>
      <c r="E27" s="1"/>
    </row>
    <row r="28" spans="1:5" ht="15" customHeight="1" x14ac:dyDescent="0.25">
      <c r="A28" s="1"/>
      <c r="B28" s="89" t="s">
        <v>161</v>
      </c>
      <c r="C28" s="72">
        <f>-C26*('Fane 15. Nøgletal'!C33+'Fane 5. Individuelt eff. krav'!G9)</f>
        <v>0</v>
      </c>
      <c r="D28" s="8" t="s">
        <v>3</v>
      </c>
      <c r="E28" s="1"/>
    </row>
    <row r="29" spans="1:5" ht="15" customHeight="1" x14ac:dyDescent="0.25">
      <c r="A29" s="1"/>
      <c r="B29" s="89" t="s">
        <v>162</v>
      </c>
      <c r="C29" s="72">
        <f>-C27*('Fane 15. Nøgletal'!C28+'Fane 5. Individuelt eff. krav'!G9)</f>
        <v>0</v>
      </c>
      <c r="D29" s="8" t="s">
        <v>3</v>
      </c>
      <c r="E29" s="1"/>
    </row>
    <row r="30" spans="1:5" ht="15" customHeight="1" x14ac:dyDescent="0.25">
      <c r="A30" s="1"/>
      <c r="B30" s="70" t="s">
        <v>75</v>
      </c>
      <c r="C30" s="10">
        <f>SUM(C26:C29)</f>
        <v>0</v>
      </c>
      <c r="D30" s="11" t="s">
        <v>3</v>
      </c>
      <c r="E30" s="1"/>
    </row>
    <row r="31" spans="1:5" x14ac:dyDescent="0.25">
      <c r="A31" s="1"/>
      <c r="B31" s="33" t="s">
        <v>116</v>
      </c>
      <c r="C31" s="28"/>
      <c r="D31" s="19"/>
      <c r="E31" s="1"/>
    </row>
    <row r="32" spans="1:5" x14ac:dyDescent="0.25">
      <c r="A32" s="1"/>
      <c r="B32" s="31" t="s">
        <v>138</v>
      </c>
      <c r="C32" s="10">
        <f>'Fane 7. Kontrol af ØR2022'!E31</f>
        <v>-2382316</v>
      </c>
      <c r="D32" s="11" t="s">
        <v>3</v>
      </c>
      <c r="E32" s="1"/>
    </row>
    <row r="33" spans="1:5" ht="15" customHeight="1" x14ac:dyDescent="0.25">
      <c r="A33" s="1"/>
      <c r="B33" s="33" t="s">
        <v>200</v>
      </c>
      <c r="C33" s="28"/>
      <c r="D33" s="19"/>
      <c r="E33" s="1"/>
    </row>
    <row r="34" spans="1:5" x14ac:dyDescent="0.25">
      <c r="A34" s="1"/>
      <c r="B34" s="31" t="s">
        <v>200</v>
      </c>
      <c r="C34" s="10">
        <f>'Fane 9. Korrektion af ØR2022'!E17</f>
        <v>-3609495.1290855831</v>
      </c>
      <c r="D34" s="11" t="s">
        <v>3</v>
      </c>
      <c r="E34" s="1"/>
    </row>
    <row r="35" spans="1:5" x14ac:dyDescent="0.25">
      <c r="A35" s="1"/>
      <c r="B35" s="30" t="s">
        <v>135</v>
      </c>
      <c r="C35" s="28"/>
      <c r="D35" s="19"/>
      <c r="E35" s="1"/>
    </row>
    <row r="36" spans="1:5" x14ac:dyDescent="0.25">
      <c r="A36" s="1"/>
      <c r="B36" s="70" t="s">
        <v>136</v>
      </c>
      <c r="C36" s="10">
        <f>'Fane 8. Skattesagen'!G13</f>
        <v>0</v>
      </c>
      <c r="D36" s="11" t="s">
        <v>3</v>
      </c>
      <c r="E36" s="1"/>
    </row>
    <row r="37" spans="1:5" x14ac:dyDescent="0.25">
      <c r="A37" s="1"/>
      <c r="B37" s="33" t="s">
        <v>108</v>
      </c>
      <c r="C37" s="49">
        <f>SUM(C34,C32,C24,C30,C22,C20,C36)</f>
        <v>130830511.52558117</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Qfa5lPaZPiEXzsZ/+P1f6CMHOsN6kex/rUrpkQ+OjrstXtBI5MP5aaUktSHr9MrW2IKKWx7CSy7hIPmeRj7RBw==" saltValue="JJ3ypIu5lgmChM07Xaa/TA=="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202</v>
      </c>
      <c r="C3" s="111"/>
      <c r="D3" s="111"/>
      <c r="E3" s="1"/>
    </row>
    <row r="4" spans="1:5" ht="15" customHeight="1" x14ac:dyDescent="0.25">
      <c r="A4" s="1"/>
      <c r="B4" s="111"/>
      <c r="C4" s="111"/>
      <c r="D4" s="111"/>
      <c r="E4" s="1"/>
    </row>
    <row r="5" spans="1:5" x14ac:dyDescent="0.25">
      <c r="A5" s="1"/>
      <c r="B5" s="112"/>
      <c r="C5" s="112"/>
      <c r="D5" s="112"/>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2.1. Økonomisk ramme 2024'!C20</f>
        <v>130237889.77319671</v>
      </c>
      <c r="D9" s="8" t="s">
        <v>3</v>
      </c>
      <c r="E9" s="1"/>
    </row>
    <row r="10" spans="1:5" ht="15" customHeight="1" x14ac:dyDescent="0.25">
      <c r="A10" s="1"/>
      <c r="B10" s="26" t="s">
        <v>19</v>
      </c>
      <c r="C10" s="7">
        <f>SUM(C9:C9)*'Fane 15. Nøgletal'!C16</f>
        <v>10523221.493674293</v>
      </c>
      <c r="D10" s="8" t="s">
        <v>3</v>
      </c>
      <c r="E10" s="1"/>
    </row>
    <row r="11" spans="1:5" ht="15" customHeight="1" x14ac:dyDescent="0.25">
      <c r="A11" s="1"/>
      <c r="B11" s="26" t="s">
        <v>10</v>
      </c>
      <c r="C11" s="9">
        <f>-SUM(C9:C10)*'Fane 5. Individuelt eff. krav'!G9</f>
        <v>-418023.39861126058</v>
      </c>
      <c r="D11" s="8" t="s">
        <v>3</v>
      </c>
      <c r="E11" s="1"/>
    </row>
    <row r="12" spans="1:5" ht="15" customHeight="1" x14ac:dyDescent="0.25">
      <c r="A12" s="1"/>
      <c r="B12" s="26" t="s">
        <v>23</v>
      </c>
      <c r="C12" s="9">
        <f>-'Fane 4.1. Gen. krav - drift'!G59</f>
        <v>-1150812.8238847647</v>
      </c>
      <c r="D12" s="8" t="s">
        <v>3</v>
      </c>
      <c r="E12" s="1"/>
    </row>
    <row r="13" spans="1:5" ht="15" customHeight="1" x14ac:dyDescent="0.25">
      <c r="A13" s="1"/>
      <c r="B13" s="26" t="s">
        <v>24</v>
      </c>
      <c r="C13" s="9">
        <f>-'Fane 4.2. Gen. krav - anlæg'!G60</f>
        <v>0</v>
      </c>
      <c r="D13" s="8" t="s">
        <v>3</v>
      </c>
      <c r="E13" s="1"/>
    </row>
    <row r="14" spans="1:5" ht="15" customHeight="1" x14ac:dyDescent="0.25">
      <c r="A14" s="1"/>
      <c r="B14" s="27" t="s">
        <v>21</v>
      </c>
      <c r="C14" s="10">
        <f>SUM(C9:C13)</f>
        <v>139192275.044375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Nøgletal'!C16)+'Fane 6. Ikke-påvirkelige omk.'!C26+'Fane 6. Ikke-påvirkelige omk.'!C34</f>
        <v>3595967.7763572792</v>
      </c>
      <c r="D16" s="11" t="s">
        <v>3</v>
      </c>
      <c r="E16" s="1"/>
    </row>
    <row r="17" spans="1:5" ht="15" customHeight="1" x14ac:dyDescent="0.25">
      <c r="A17" s="1"/>
      <c r="B17" s="33" t="s">
        <v>74</v>
      </c>
      <c r="C17" s="28"/>
      <c r="D17" s="19"/>
      <c r="E17" s="1"/>
    </row>
    <row r="18" spans="1:5" ht="15" customHeight="1" x14ac:dyDescent="0.25">
      <c r="A18" s="1"/>
      <c r="B18" s="83" t="s">
        <v>74</v>
      </c>
      <c r="C18" s="10">
        <f>'Fane 12. Periodevise driftsomk.'!E19</f>
        <v>2444932.4043355417</v>
      </c>
      <c r="D18" s="11" t="s">
        <v>3</v>
      </c>
      <c r="E18" s="1"/>
    </row>
    <row r="19" spans="1:5" x14ac:dyDescent="0.25">
      <c r="A19" s="1"/>
      <c r="B19" s="33" t="s">
        <v>116</v>
      </c>
      <c r="C19" s="28"/>
      <c r="D19" s="19"/>
      <c r="E19" s="1"/>
    </row>
    <row r="20" spans="1:5" ht="15" customHeight="1" x14ac:dyDescent="0.25">
      <c r="A20" s="1"/>
      <c r="B20" s="31" t="s">
        <v>138</v>
      </c>
      <c r="C20" s="10">
        <f>'Fane 7. Kontrol af ØR2022'!E31</f>
        <v>-2382316</v>
      </c>
      <c r="D20" s="11" t="s">
        <v>3</v>
      </c>
      <c r="E20" s="1"/>
    </row>
    <row r="21" spans="1:5" x14ac:dyDescent="0.25">
      <c r="A21" s="1"/>
      <c r="B21" s="30" t="s">
        <v>135</v>
      </c>
      <c r="C21" s="28"/>
      <c r="D21" s="19"/>
      <c r="E21" s="1"/>
    </row>
    <row r="22" spans="1:5" x14ac:dyDescent="0.25">
      <c r="A22" s="1"/>
      <c r="B22" s="70" t="s">
        <v>136</v>
      </c>
      <c r="C22" s="10">
        <f>'Fane 8. Skattesagen'!G14</f>
        <v>0</v>
      </c>
      <c r="D22" s="11" t="s">
        <v>3</v>
      </c>
      <c r="E22" s="1"/>
    </row>
    <row r="23" spans="1:5" x14ac:dyDescent="0.25">
      <c r="A23" s="1"/>
      <c r="B23" s="33" t="s">
        <v>122</v>
      </c>
      <c r="C23" s="12">
        <f>SUM(C14,C16,C18,C20,C22)</f>
        <v>142850859.22506782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hyiChdqXydcm72dzW7EV70Ti2NdqMv5/Y/yk+v+t0qTNFqmeCxVIqbPHAI46DetUBqJ7PUZaiIgpFI1Rezowfg==" saltValue="8OnPVYG7dk1S7BNRN5Oup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1" t="s">
        <v>203</v>
      </c>
      <c r="C3" s="111"/>
      <c r="D3" s="111"/>
      <c r="E3" s="1"/>
    </row>
    <row r="4" spans="1:5" ht="15" customHeight="1" x14ac:dyDescent="0.25">
      <c r="A4" s="1"/>
      <c r="B4" s="111"/>
      <c r="C4" s="111"/>
      <c r="D4" s="111"/>
      <c r="E4" s="1"/>
    </row>
    <row r="5" spans="1:5" x14ac:dyDescent="0.25">
      <c r="A5" s="1"/>
      <c r="B5" s="112" t="s">
        <v>253</v>
      </c>
      <c r="C5" s="112"/>
      <c r="D5" s="112"/>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139</v>
      </c>
      <c r="C9" s="7">
        <f>'Fane 2.2. Økonomisk ramme 2025'!C14</f>
        <v>139192275.044375</v>
      </c>
      <c r="D9" s="8" t="s">
        <v>3</v>
      </c>
      <c r="E9" s="1"/>
    </row>
    <row r="10" spans="1:5" ht="15" customHeight="1" x14ac:dyDescent="0.25">
      <c r="A10" s="1"/>
      <c r="B10" s="26" t="s">
        <v>19</v>
      </c>
      <c r="C10" s="7">
        <f>SUM(C9:C9)*'Fane 15. Nøgletal'!C16</f>
        <v>11246735.823585499</v>
      </c>
      <c r="D10" s="8" t="s">
        <v>3</v>
      </c>
      <c r="E10" s="1"/>
    </row>
    <row r="11" spans="1:5" ht="15" customHeight="1" x14ac:dyDescent="0.25">
      <c r="A11" s="1"/>
      <c r="B11" s="26" t="s">
        <v>10</v>
      </c>
      <c r="C11" s="9">
        <f>-SUM(C9:C10)*'Fane 5. Individuelt eff. krav'!G9</f>
        <v>-446764.20952313172</v>
      </c>
      <c r="D11" s="8" t="s">
        <v>3</v>
      </c>
      <c r="E11" s="1"/>
    </row>
    <row r="12" spans="1:5" ht="15" customHeight="1" x14ac:dyDescent="0.25">
      <c r="A12" s="1"/>
      <c r="B12" s="26" t="s">
        <v>23</v>
      </c>
      <c r="C12" s="9">
        <f>-'Fane 4.1. Gen. krav - drift'!G64</f>
        <v>-1218922.5300535606</v>
      </c>
      <c r="D12" s="8" t="s">
        <v>3</v>
      </c>
      <c r="E12" s="1"/>
    </row>
    <row r="13" spans="1:5" ht="15" customHeight="1" x14ac:dyDescent="0.25">
      <c r="A13" s="1"/>
      <c r="B13" s="26" t="s">
        <v>24</v>
      </c>
      <c r="C13" s="9">
        <f>-'Fane 4.2. Gen. krav - anlæg'!G65</f>
        <v>0</v>
      </c>
      <c r="D13" s="8" t="s">
        <v>3</v>
      </c>
      <c r="E13" s="1"/>
    </row>
    <row r="14" spans="1:5" x14ac:dyDescent="0.25">
      <c r="A14" s="1"/>
      <c r="B14" s="27" t="s">
        <v>21</v>
      </c>
      <c r="C14" s="10">
        <f>SUM(C9:C13)</f>
        <v>148773324.12838382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Nøgletal'!C16)^2+'Fane 6. Ikke-påvirkelige omk.'!C27+'Fane 6. Ikke-påvirkelige omk.'!C35</f>
        <v>3886521.9726869469</v>
      </c>
      <c r="D16" s="11" t="s">
        <v>3</v>
      </c>
      <c r="E16" s="1"/>
    </row>
    <row r="17" spans="1:5" ht="15" customHeight="1" x14ac:dyDescent="0.25">
      <c r="A17" s="1"/>
      <c r="B17" s="33" t="s">
        <v>74</v>
      </c>
      <c r="C17" s="28"/>
      <c r="D17" s="19"/>
      <c r="E17" s="1"/>
    </row>
    <row r="18" spans="1:5" ht="15" customHeight="1" x14ac:dyDescent="0.25">
      <c r="A18" s="1"/>
      <c r="B18" s="83" t="s">
        <v>74</v>
      </c>
      <c r="C18" s="10">
        <f>'Fane 12. Periodevise driftsomk.'!E25</f>
        <v>2642482.9426058531</v>
      </c>
      <c r="D18" s="11" t="s">
        <v>3</v>
      </c>
      <c r="E18" s="1"/>
    </row>
    <row r="19" spans="1:5" ht="15" customHeight="1" x14ac:dyDescent="0.25">
      <c r="A19" s="1"/>
      <c r="B19" s="33" t="s">
        <v>116</v>
      </c>
      <c r="C19" s="28"/>
      <c r="D19" s="19"/>
      <c r="E19" s="1"/>
    </row>
    <row r="20" spans="1:5" ht="15" customHeight="1" x14ac:dyDescent="0.25">
      <c r="A20" s="1"/>
      <c r="B20" s="31" t="s">
        <v>138</v>
      </c>
      <c r="C20" s="10">
        <v>0</v>
      </c>
      <c r="D20" s="11" t="s">
        <v>3</v>
      </c>
      <c r="E20" s="1"/>
    </row>
    <row r="21" spans="1:5" x14ac:dyDescent="0.25">
      <c r="A21" s="1"/>
      <c r="B21" s="30" t="s">
        <v>135</v>
      </c>
      <c r="C21" s="28"/>
      <c r="D21" s="19"/>
      <c r="E21" s="1"/>
    </row>
    <row r="22" spans="1:5" x14ac:dyDescent="0.25">
      <c r="A22" s="1"/>
      <c r="B22" s="70" t="s">
        <v>136</v>
      </c>
      <c r="C22" s="10">
        <f>'Fane 8. Skattesagen'!G15</f>
        <v>0</v>
      </c>
      <c r="D22" s="11" t="s">
        <v>3</v>
      </c>
      <c r="E22" s="1"/>
    </row>
    <row r="23" spans="1:5" x14ac:dyDescent="0.25">
      <c r="A23" s="1"/>
      <c r="B23" s="33" t="s">
        <v>140</v>
      </c>
      <c r="C23" s="12">
        <f>SUM(C14,C16,C18,C20,C22)</f>
        <v>155302329.04367661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m6OrSJWbafjFXXtrEFCGW0VLFZh4sB4sbf9h7QRNEi86fiBX2Nxw8dSDNxgQX1G3gysJTFLe/BkxqFvRNDTQiQ==" saltValue="LGt+Oqa5nO+oSvo0urJOG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F50"/>
  <sheetViews>
    <sheetView showGridLines="0" view="pageLayout" zoomScale="99" zoomScaleNormal="100" zoomScalePageLayoutView="99"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1" t="s">
        <v>204</v>
      </c>
      <c r="C3" s="111"/>
      <c r="D3" s="111"/>
      <c r="E3" s="1"/>
      <c r="F3" s="1"/>
    </row>
    <row r="4" spans="1:6" ht="15" customHeight="1" x14ac:dyDescent="0.25">
      <c r="A4" s="1"/>
      <c r="B4" s="111"/>
      <c r="C4" s="111"/>
      <c r="D4" s="111"/>
      <c r="E4" s="1"/>
      <c r="F4" s="1"/>
    </row>
    <row r="5" spans="1:6" x14ac:dyDescent="0.25">
      <c r="A5" s="1"/>
      <c r="B5" s="112" t="s">
        <v>253</v>
      </c>
      <c r="C5" s="112"/>
      <c r="D5" s="112"/>
      <c r="E5" s="1"/>
      <c r="F5" s="1"/>
    </row>
    <row r="6" spans="1:6" x14ac:dyDescent="0.25">
      <c r="A6" s="1"/>
      <c r="B6" s="74"/>
      <c r="C6" s="74"/>
      <c r="D6" s="74"/>
      <c r="E6" s="1"/>
      <c r="F6" s="1"/>
    </row>
    <row r="7" spans="1:6" x14ac:dyDescent="0.25">
      <c r="A7" s="1"/>
      <c r="B7" s="1"/>
      <c r="C7" s="1"/>
      <c r="D7" s="1"/>
      <c r="E7" s="1"/>
      <c r="F7" s="1"/>
    </row>
    <row r="8" spans="1:6" x14ac:dyDescent="0.25">
      <c r="A8" s="1"/>
      <c r="B8" s="33" t="s">
        <v>13</v>
      </c>
      <c r="C8" s="28"/>
      <c r="D8" s="19"/>
      <c r="E8" s="1"/>
      <c r="F8" s="1"/>
    </row>
    <row r="9" spans="1:6" ht="15" customHeight="1" x14ac:dyDescent="0.25">
      <c r="A9" s="1"/>
      <c r="B9" s="29" t="s">
        <v>208</v>
      </c>
      <c r="C9" s="7">
        <f>'Fane 2.3. Økonomisk ramme 2026'!C14</f>
        <v>148773324.12838382</v>
      </c>
      <c r="D9" s="8" t="s">
        <v>3</v>
      </c>
      <c r="E9" s="1"/>
      <c r="F9" s="1"/>
    </row>
    <row r="10" spans="1:6" ht="15" customHeight="1" x14ac:dyDescent="0.25">
      <c r="A10" s="1"/>
      <c r="B10" s="26" t="s">
        <v>19</v>
      </c>
      <c r="C10" s="7">
        <f>SUM(C9:C9)*'Fane 15. Nøgletal'!C16</f>
        <v>12020884.589573411</v>
      </c>
      <c r="D10" s="8" t="s">
        <v>3</v>
      </c>
      <c r="E10" s="1"/>
      <c r="F10" s="1"/>
    </row>
    <row r="11" spans="1:6" ht="15" customHeight="1" x14ac:dyDescent="0.25">
      <c r="A11" s="1"/>
      <c r="B11" s="26" t="s">
        <v>10</v>
      </c>
      <c r="C11" s="9">
        <f>-SUM(C9:C10)*'Fane 5. Individuelt eff. krav'!G9</f>
        <v>-477516.41771180375</v>
      </c>
      <c r="D11" s="8" t="s">
        <v>3</v>
      </c>
      <c r="E11" s="1"/>
      <c r="F11" s="1"/>
    </row>
    <row r="12" spans="1:6" ht="15" customHeight="1" x14ac:dyDescent="0.25">
      <c r="A12" s="1"/>
      <c r="B12" s="26" t="s">
        <v>23</v>
      </c>
      <c r="C12" s="9">
        <f>-'Fane 4.1. Gen. krav - drift'!G69</f>
        <v>-1291063.2410722505</v>
      </c>
      <c r="D12" s="8" t="s">
        <v>3</v>
      </c>
      <c r="E12" s="1"/>
      <c r="F12" s="1"/>
    </row>
    <row r="13" spans="1:6" ht="15" customHeight="1" x14ac:dyDescent="0.25">
      <c r="A13" s="1"/>
      <c r="B13" s="26" t="s">
        <v>24</v>
      </c>
      <c r="C13" s="9">
        <f>-'Fane 4.2. Gen. krav - anlæg'!G70</f>
        <v>0</v>
      </c>
      <c r="D13" s="8" t="s">
        <v>3</v>
      </c>
      <c r="E13" s="1"/>
      <c r="F13" s="1"/>
    </row>
    <row r="14" spans="1:6" ht="14.25" customHeight="1" x14ac:dyDescent="0.25">
      <c r="A14" s="1"/>
      <c r="B14" s="27" t="s">
        <v>21</v>
      </c>
      <c r="C14" s="10">
        <f>SUM(C9:C13)</f>
        <v>159025629.0591732</v>
      </c>
      <c r="D14" s="11" t="s">
        <v>3</v>
      </c>
      <c r="E14" s="1"/>
      <c r="F14" s="1"/>
    </row>
    <row r="15" spans="1:6" x14ac:dyDescent="0.25">
      <c r="A15" s="1"/>
      <c r="B15" s="33" t="s">
        <v>12</v>
      </c>
      <c r="C15" s="28"/>
      <c r="D15" s="19"/>
      <c r="E15" s="1"/>
      <c r="F15" s="1"/>
    </row>
    <row r="16" spans="1:6" ht="15" customHeight="1" x14ac:dyDescent="0.25">
      <c r="A16" s="1"/>
      <c r="B16" s="31" t="s">
        <v>12</v>
      </c>
      <c r="C16" s="10">
        <f>'Fane 6. Ikke-påvirkelige omk.'!C21*(1+'Fane 15. Nøgletal'!C16)^3+'Fane 6. Ikke-påvirkelige omk.'!C28+'Fane 6. Ikke-påvirkelige omk.'!C36</f>
        <v>4200552.9480800526</v>
      </c>
      <c r="D16" s="11" t="s">
        <v>3</v>
      </c>
      <c r="E16" s="1"/>
      <c r="F16" s="1"/>
    </row>
    <row r="17" spans="1:6" ht="15" customHeight="1" x14ac:dyDescent="0.25">
      <c r="A17" s="1"/>
      <c r="B17" s="33" t="s">
        <v>74</v>
      </c>
      <c r="C17" s="28"/>
      <c r="D17" s="19"/>
      <c r="E17" s="1"/>
      <c r="F17" s="1"/>
    </row>
    <row r="18" spans="1:6" ht="15" customHeight="1" x14ac:dyDescent="0.25">
      <c r="A18" s="1"/>
      <c r="B18" s="83" t="s">
        <v>74</v>
      </c>
      <c r="C18" s="10">
        <f>'Fane 12. Periodevise driftsomk.'!E31</f>
        <v>2855995.5643684058</v>
      </c>
      <c r="D18" s="11" t="s">
        <v>3</v>
      </c>
      <c r="E18" s="1"/>
      <c r="F18" s="1"/>
    </row>
    <row r="19" spans="1:6" ht="15" customHeight="1" x14ac:dyDescent="0.25">
      <c r="A19" s="1"/>
      <c r="B19" s="33" t="s">
        <v>116</v>
      </c>
      <c r="C19" s="28"/>
      <c r="D19" s="19"/>
      <c r="E19" s="1"/>
      <c r="F19" s="1"/>
    </row>
    <row r="20" spans="1:6" ht="15" customHeight="1" x14ac:dyDescent="0.25">
      <c r="A20" s="1"/>
      <c r="B20" s="31" t="s">
        <v>138</v>
      </c>
      <c r="C20" s="10">
        <v>0</v>
      </c>
      <c r="D20" s="11" t="s">
        <v>3</v>
      </c>
      <c r="E20" s="1"/>
      <c r="F20" s="1"/>
    </row>
    <row r="21" spans="1:6" x14ac:dyDescent="0.25">
      <c r="A21" s="1"/>
      <c r="B21" s="30" t="s">
        <v>135</v>
      </c>
      <c r="C21" s="28"/>
      <c r="D21" s="19"/>
      <c r="E21" s="1"/>
      <c r="F21" s="1"/>
    </row>
    <row r="22" spans="1:6" x14ac:dyDescent="0.25">
      <c r="A22" s="1"/>
      <c r="B22" s="70" t="s">
        <v>136</v>
      </c>
      <c r="C22" s="10">
        <f>'Fane 8. Skattesagen'!G16</f>
        <v>0</v>
      </c>
      <c r="D22" s="11" t="s">
        <v>3</v>
      </c>
      <c r="E22" s="1"/>
      <c r="F22" s="1"/>
    </row>
    <row r="23" spans="1:6" x14ac:dyDescent="0.25">
      <c r="A23" s="1"/>
      <c r="B23" s="33" t="s">
        <v>209</v>
      </c>
      <c r="C23" s="12">
        <f>SUM(C14,C16,C18,C20,C22)</f>
        <v>166082177.57162166</v>
      </c>
      <c r="D23" s="13" t="s">
        <v>3</v>
      </c>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sheetData>
  <sheetProtection algorithmName="SHA-512" hashValue="DwkW+tOhqSUsaXp+cqIctPlc82DC96CIGtZIHaAUVu36L8FXrlW7gPdkDFYqHi1dD2cv6mfE57tApKzrtwNNzQ==" saltValue="FAcm0dKhiStcfP4YAbYHD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99" zoomScaleNormal="100" zoomScalePageLayoutView="99"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14" t="s">
        <v>205</v>
      </c>
      <c r="C3" s="114"/>
      <c r="D3" s="114"/>
      <c r="E3" s="1"/>
    </row>
    <row r="4" spans="1:5" x14ac:dyDescent="0.25">
      <c r="A4" s="1"/>
      <c r="B4" s="114"/>
      <c r="C4" s="114"/>
      <c r="D4" s="11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254</v>
      </c>
      <c r="C8" s="28"/>
      <c r="D8" s="19"/>
      <c r="E8" s="1"/>
    </row>
    <row r="9" spans="1:5" x14ac:dyDescent="0.25">
      <c r="A9" s="1"/>
      <c r="B9" s="29" t="s">
        <v>255</v>
      </c>
      <c r="C9" s="7">
        <v>122357900.20286614</v>
      </c>
      <c r="D9" s="8" t="s">
        <v>3</v>
      </c>
      <c r="E9" s="1"/>
    </row>
    <row r="10" spans="1:5" x14ac:dyDescent="0.25">
      <c r="A10" s="1"/>
      <c r="B10" s="89" t="s">
        <v>36</v>
      </c>
      <c r="C10" s="7">
        <v>737222.92800000007</v>
      </c>
      <c r="D10" s="8" t="s">
        <v>3</v>
      </c>
      <c r="E10" s="1"/>
    </row>
    <row r="11" spans="1:5" x14ac:dyDescent="0.25">
      <c r="A11" s="1"/>
      <c r="B11" s="89" t="s">
        <v>37</v>
      </c>
      <c r="C11" s="9">
        <v>1520070.2496000002</v>
      </c>
      <c r="D11" s="8" t="s">
        <v>3</v>
      </c>
      <c r="E11" s="1"/>
    </row>
    <row r="12" spans="1:5" x14ac:dyDescent="0.25">
      <c r="A12" s="1"/>
      <c r="B12" s="89" t="s">
        <v>26</v>
      </c>
      <c r="C12" s="9">
        <v>0</v>
      </c>
      <c r="D12" s="8" t="s">
        <v>3</v>
      </c>
      <c r="E12" s="1"/>
    </row>
    <row r="13" spans="1:5" x14ac:dyDescent="0.25">
      <c r="A13" s="1"/>
      <c r="B13" s="89" t="s">
        <v>25</v>
      </c>
      <c r="C13" s="9">
        <v>0</v>
      </c>
      <c r="D13" s="8" t="s">
        <v>3</v>
      </c>
      <c r="E13" s="1"/>
    </row>
    <row r="14" spans="1:5" x14ac:dyDescent="0.25">
      <c r="A14" s="1"/>
      <c r="B14" s="89" t="s">
        <v>105</v>
      </c>
      <c r="C14" s="9">
        <v>0</v>
      </c>
      <c r="D14" s="8" t="s">
        <v>3</v>
      </c>
      <c r="E14" s="1"/>
    </row>
    <row r="15" spans="1:5" x14ac:dyDescent="0.25">
      <c r="A15" s="1"/>
      <c r="B15" s="89" t="s">
        <v>106</v>
      </c>
      <c r="C15" s="9">
        <v>0</v>
      </c>
      <c r="D15" s="8" t="s">
        <v>3</v>
      </c>
      <c r="E15" s="1"/>
    </row>
    <row r="16" spans="1:5" x14ac:dyDescent="0.25">
      <c r="A16" s="1"/>
      <c r="B16" s="89" t="s">
        <v>19</v>
      </c>
      <c r="C16" s="41">
        <v>484140.70779201825</v>
      </c>
      <c r="D16" s="8" t="s">
        <v>3</v>
      </c>
      <c r="E16" s="1"/>
    </row>
    <row r="17" spans="1:5" x14ac:dyDescent="0.25">
      <c r="A17" s="1"/>
      <c r="B17" s="89" t="s">
        <v>10</v>
      </c>
      <c r="C17" s="41">
        <v>-1252013.6422742661</v>
      </c>
      <c r="D17" s="8" t="s">
        <v>3</v>
      </c>
      <c r="E17" s="1"/>
    </row>
    <row r="18" spans="1:5" x14ac:dyDescent="0.25">
      <c r="A18" s="1"/>
      <c r="B18" s="89" t="s">
        <v>23</v>
      </c>
      <c r="C18" s="41">
        <v>-1024896.5087865278</v>
      </c>
      <c r="D18" s="8" t="s">
        <v>3</v>
      </c>
      <c r="E18" s="1"/>
    </row>
    <row r="19" spans="1:5" x14ac:dyDescent="0.25">
      <c r="A19" s="1"/>
      <c r="B19" s="89" t="s">
        <v>24</v>
      </c>
      <c r="C19" s="41">
        <v>-1152943.3049938255</v>
      </c>
      <c r="D19" s="8" t="s">
        <v>3</v>
      </c>
      <c r="E19" s="47"/>
    </row>
    <row r="20" spans="1:5" x14ac:dyDescent="0.25">
      <c r="A20" s="1"/>
      <c r="B20" s="83" t="s">
        <v>21</v>
      </c>
      <c r="C20" s="10">
        <v>121669480.63220353</v>
      </c>
      <c r="D20" s="11" t="s">
        <v>3</v>
      </c>
      <c r="E20" s="1"/>
    </row>
    <row r="21" spans="1:5" x14ac:dyDescent="0.25">
      <c r="A21" s="1"/>
      <c r="B21" s="33" t="s">
        <v>12</v>
      </c>
      <c r="C21" s="28"/>
      <c r="D21" s="19"/>
      <c r="E21" s="1"/>
    </row>
    <row r="22" spans="1:5" x14ac:dyDescent="0.25">
      <c r="A22" s="1"/>
      <c r="B22" s="31" t="s">
        <v>12</v>
      </c>
      <c r="C22" s="10">
        <v>3363580.4536353601</v>
      </c>
      <c r="D22" s="11" t="s">
        <v>3</v>
      </c>
      <c r="E22" s="1"/>
    </row>
    <row r="23" spans="1:5" x14ac:dyDescent="0.25">
      <c r="A23" s="1"/>
      <c r="B23" s="33" t="s">
        <v>74</v>
      </c>
      <c r="C23" s="28"/>
      <c r="D23" s="19"/>
      <c r="E23" s="1"/>
    </row>
    <row r="24" spans="1:5" x14ac:dyDescent="0.25">
      <c r="A24" s="1"/>
      <c r="B24" s="83" t="s">
        <v>74</v>
      </c>
      <c r="C24" s="10">
        <v>2055153.1271506131</v>
      </c>
      <c r="D24" s="11" t="s">
        <v>3</v>
      </c>
      <c r="E24" s="1"/>
    </row>
    <row r="25" spans="1:5" x14ac:dyDescent="0.25">
      <c r="A25" s="1"/>
      <c r="B25" s="44" t="s">
        <v>73</v>
      </c>
      <c r="C25" s="42"/>
      <c r="D25" s="43"/>
      <c r="E25" s="1"/>
    </row>
    <row r="26" spans="1:5" x14ac:dyDescent="0.25">
      <c r="A26" s="1"/>
      <c r="B26" s="89" t="s">
        <v>158</v>
      </c>
      <c r="C26" s="69">
        <v>0</v>
      </c>
      <c r="D26" s="8" t="s">
        <v>3</v>
      </c>
      <c r="E26" s="1"/>
    </row>
    <row r="27" spans="1:5" x14ac:dyDescent="0.25">
      <c r="A27" s="1"/>
      <c r="B27" s="89" t="s">
        <v>70</v>
      </c>
      <c r="C27" s="69">
        <v>0</v>
      </c>
      <c r="D27" s="8" t="s">
        <v>3</v>
      </c>
      <c r="E27" s="1"/>
    </row>
    <row r="28" spans="1:5" x14ac:dyDescent="0.25">
      <c r="A28" s="1"/>
      <c r="B28" s="89" t="s">
        <v>161</v>
      </c>
      <c r="C28" s="69">
        <v>0</v>
      </c>
      <c r="D28" s="8" t="s">
        <v>3</v>
      </c>
      <c r="E28" s="1"/>
    </row>
    <row r="29" spans="1:5" x14ac:dyDescent="0.25">
      <c r="A29" s="1"/>
      <c r="B29" s="89" t="s">
        <v>162</v>
      </c>
      <c r="C29" s="69">
        <v>0</v>
      </c>
      <c r="D29" s="8" t="s">
        <v>3</v>
      </c>
      <c r="E29" s="1"/>
    </row>
    <row r="30" spans="1:5" x14ac:dyDescent="0.25">
      <c r="A30" s="1"/>
      <c r="B30" s="70" t="s">
        <v>75</v>
      </c>
      <c r="C30" s="10">
        <v>0</v>
      </c>
      <c r="D30" s="11" t="s">
        <v>3</v>
      </c>
      <c r="E30" s="1"/>
    </row>
    <row r="31" spans="1:5" x14ac:dyDescent="0.25">
      <c r="A31" s="1"/>
      <c r="B31" s="33" t="s">
        <v>116</v>
      </c>
      <c r="C31" s="28"/>
      <c r="D31" s="19"/>
      <c r="E31" s="1"/>
    </row>
    <row r="32" spans="1:5" x14ac:dyDescent="0.25">
      <c r="A32" s="1"/>
      <c r="B32" s="31" t="s">
        <v>138</v>
      </c>
      <c r="C32" s="10">
        <v>0</v>
      </c>
      <c r="D32" s="11" t="s">
        <v>3</v>
      </c>
      <c r="E32" s="1"/>
    </row>
    <row r="33" spans="1:5" x14ac:dyDescent="0.25">
      <c r="A33" s="1"/>
      <c r="B33" s="33" t="s">
        <v>266</v>
      </c>
      <c r="C33" s="28"/>
      <c r="D33" s="19"/>
      <c r="E33" s="1"/>
    </row>
    <row r="34" spans="1:5" x14ac:dyDescent="0.25">
      <c r="A34" s="1"/>
      <c r="B34" s="31" t="s">
        <v>266</v>
      </c>
      <c r="C34" s="10">
        <v>251897</v>
      </c>
      <c r="D34" s="11" t="s">
        <v>3</v>
      </c>
      <c r="E34" s="1"/>
    </row>
    <row r="35" spans="1:5" x14ac:dyDescent="0.25">
      <c r="A35" s="1"/>
      <c r="B35" s="30" t="s">
        <v>135</v>
      </c>
      <c r="C35" s="28"/>
      <c r="D35" s="19"/>
      <c r="E35" s="1"/>
    </row>
    <row r="36" spans="1:5" x14ac:dyDescent="0.25">
      <c r="A36" s="1"/>
      <c r="B36" s="70" t="s">
        <v>136</v>
      </c>
      <c r="C36" s="10">
        <v>0</v>
      </c>
      <c r="D36" s="11" t="s">
        <v>3</v>
      </c>
      <c r="E36" s="1"/>
    </row>
    <row r="37" spans="1:5" x14ac:dyDescent="0.25">
      <c r="A37" s="1"/>
      <c r="B37" s="33" t="s">
        <v>267</v>
      </c>
      <c r="C37" s="49">
        <v>127340111.21298951</v>
      </c>
      <c r="D37" s="30" t="s">
        <v>3</v>
      </c>
      <c r="E37" s="1"/>
    </row>
    <row r="38" spans="1:5" ht="30" customHeight="1" x14ac:dyDescent="0.25">
      <c r="A38" s="1"/>
      <c r="B38" s="113" t="s">
        <v>268</v>
      </c>
      <c r="C38" s="113"/>
      <c r="D38" s="113"/>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zuzg3ef+Js/Sy7tSObyHTxm/5xtCqF6MPG7jUsFv2aG8GNvWh9XmA4tKgX7gwmQazFsT+LK53JphaKuGVhl1NQ==" saltValue="GcdzY+A+/Qy7+2h9006FNw==" spinCount="100000" sheet="1" objects="1" scenarios="1"/>
  <mergeCells count="2">
    <mergeCell ref="B38:D38"/>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99"/>
  <sheetViews>
    <sheetView showGridLines="0" view="pageLayout" zoomScale="90" zoomScaleNormal="100" zoomScalePageLayoutView="9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7"/>
      <c r="C1" s="37"/>
      <c r="D1" s="37"/>
      <c r="E1" s="37"/>
      <c r="F1" s="37"/>
      <c r="G1" s="37"/>
      <c r="H1" s="37"/>
      <c r="I1" s="1"/>
    </row>
    <row r="2" spans="1:9" ht="15" customHeight="1" x14ac:dyDescent="0.25">
      <c r="A2" s="1"/>
      <c r="B2" s="114" t="s">
        <v>91</v>
      </c>
      <c r="C2" s="114"/>
      <c r="D2" s="114"/>
      <c r="E2" s="114"/>
      <c r="F2" s="114"/>
      <c r="G2" s="114"/>
      <c r="H2" s="114"/>
      <c r="I2" s="1"/>
    </row>
    <row r="3" spans="1:9" ht="28.5" customHeight="1" x14ac:dyDescent="0.25">
      <c r="A3" s="1"/>
      <c r="B3" s="114"/>
      <c r="C3" s="114"/>
      <c r="D3" s="114"/>
      <c r="E3" s="114"/>
      <c r="F3" s="114"/>
      <c r="G3" s="114"/>
      <c r="H3" s="114"/>
      <c r="I3" s="1"/>
    </row>
    <row r="4" spans="1:9" x14ac:dyDescent="0.25">
      <c r="A4" s="1"/>
      <c r="B4" s="118" t="s">
        <v>46</v>
      </c>
      <c r="C4" s="119"/>
      <c r="D4" s="119"/>
      <c r="E4" s="119"/>
      <c r="F4" s="119"/>
      <c r="G4" s="119"/>
      <c r="H4" s="120"/>
      <c r="I4" s="1"/>
    </row>
    <row r="5" spans="1:9" x14ac:dyDescent="0.25">
      <c r="A5" s="1"/>
      <c r="B5" s="121" t="s">
        <v>38</v>
      </c>
      <c r="C5" s="122"/>
      <c r="D5" s="122"/>
      <c r="E5" s="122"/>
      <c r="F5" s="123"/>
      <c r="G5" s="63">
        <v>52226179.285570957</v>
      </c>
      <c r="H5" s="14" t="s">
        <v>3</v>
      </c>
      <c r="I5" s="1"/>
    </row>
    <row r="6" spans="1:9" x14ac:dyDescent="0.25">
      <c r="A6" s="1"/>
      <c r="B6" s="115" t="s">
        <v>102</v>
      </c>
      <c r="C6" s="116"/>
      <c r="D6" s="116"/>
      <c r="E6" s="116"/>
      <c r="F6" s="117"/>
      <c r="G6" s="66">
        <v>1849868</v>
      </c>
      <c r="H6" s="14" t="s">
        <v>3</v>
      </c>
      <c r="I6" s="1"/>
    </row>
    <row r="7" spans="1:9" x14ac:dyDescent="0.25">
      <c r="A7" s="1"/>
      <c r="B7" s="121" t="s">
        <v>39</v>
      </c>
      <c r="C7" s="122"/>
      <c r="D7" s="122"/>
      <c r="E7" s="122"/>
      <c r="F7" s="123"/>
      <c r="G7" s="23">
        <f>SUM(G5:G6)*'Fane 15. Nøgletal'!C33</f>
        <v>1081520.9457114192</v>
      </c>
      <c r="H7" s="14" t="s">
        <v>3</v>
      </c>
      <c r="I7" s="1"/>
    </row>
    <row r="8" spans="1:9" x14ac:dyDescent="0.25">
      <c r="A8" s="1"/>
      <c r="B8" s="33"/>
      <c r="C8" s="28"/>
      <c r="D8" s="28"/>
      <c r="E8" s="28"/>
      <c r="F8" s="28"/>
      <c r="G8" s="28"/>
      <c r="H8" s="19"/>
      <c r="I8" s="1"/>
    </row>
    <row r="9" spans="1:9" x14ac:dyDescent="0.25">
      <c r="A9" s="1"/>
      <c r="B9" s="1"/>
      <c r="C9" s="1"/>
      <c r="D9" s="1"/>
      <c r="E9" s="1"/>
      <c r="F9" s="1"/>
      <c r="G9" s="1"/>
      <c r="H9" s="1"/>
      <c r="I9" s="1"/>
    </row>
    <row r="10" spans="1:9" x14ac:dyDescent="0.25">
      <c r="A10" s="1"/>
      <c r="B10" s="118" t="s">
        <v>47</v>
      </c>
      <c r="C10" s="119"/>
      <c r="D10" s="119"/>
      <c r="E10" s="119"/>
      <c r="F10" s="119"/>
      <c r="G10" s="119"/>
      <c r="H10" s="120"/>
      <c r="I10" s="1"/>
    </row>
    <row r="11" spans="1:9" x14ac:dyDescent="0.25">
      <c r="A11" s="1"/>
      <c r="B11" s="121" t="s">
        <v>40</v>
      </c>
      <c r="C11" s="122"/>
      <c r="D11" s="122"/>
      <c r="E11" s="122"/>
      <c r="F11" s="123"/>
      <c r="G11" s="23">
        <f>(G5-G7)*(1+'Fane 15. Nøgletal'!C10)</f>
        <v>52039689.860807084</v>
      </c>
      <c r="H11" s="14" t="s">
        <v>3</v>
      </c>
      <c r="I11" s="1"/>
    </row>
    <row r="12" spans="1:9" ht="15" customHeight="1" x14ac:dyDescent="0.25">
      <c r="A12" s="1"/>
      <c r="B12" s="121" t="s">
        <v>103</v>
      </c>
      <c r="C12" s="122"/>
      <c r="D12" s="122"/>
      <c r="E12" s="122"/>
      <c r="F12" s="123"/>
      <c r="G12" s="66">
        <v>0.5948319950513542</v>
      </c>
      <c r="H12" s="14" t="s">
        <v>3</v>
      </c>
      <c r="I12" s="1"/>
    </row>
    <row r="13" spans="1:9" x14ac:dyDescent="0.25">
      <c r="A13" s="1"/>
      <c r="B13" s="115" t="s">
        <v>100</v>
      </c>
      <c r="C13" s="116"/>
      <c r="D13" s="116"/>
      <c r="E13" s="116"/>
      <c r="F13" s="117"/>
      <c r="G13" s="66">
        <v>1882239.6725000001</v>
      </c>
      <c r="H13" s="14" t="s">
        <v>3</v>
      </c>
      <c r="I13" s="1"/>
    </row>
    <row r="14" spans="1:9" x14ac:dyDescent="0.25">
      <c r="A14" s="1"/>
      <c r="B14" s="124" t="s">
        <v>244</v>
      </c>
      <c r="C14" s="125"/>
      <c r="D14" s="125"/>
      <c r="E14" s="125"/>
      <c r="F14" s="126"/>
      <c r="G14" s="66">
        <v>0</v>
      </c>
      <c r="H14" s="14" t="s">
        <v>3</v>
      </c>
      <c r="I14" s="1"/>
    </row>
    <row r="15" spans="1:9" x14ac:dyDescent="0.25">
      <c r="A15" s="1"/>
      <c r="B15" s="121" t="s">
        <v>41</v>
      </c>
      <c r="C15" s="122"/>
      <c r="D15" s="122"/>
      <c r="E15" s="122"/>
      <c r="F15" s="123"/>
      <c r="G15" s="23">
        <f>SUM(G11:G14)*'Fane 15. Nøgletal'!C33</f>
        <v>1078438.6025627817</v>
      </c>
      <c r="H15" s="14" t="s">
        <v>3</v>
      </c>
      <c r="I15" s="1"/>
    </row>
    <row r="16" spans="1:9" x14ac:dyDescent="0.25">
      <c r="A16" s="1"/>
      <c r="B16" s="33"/>
      <c r="C16" s="28"/>
      <c r="D16" s="28"/>
      <c r="E16" s="28"/>
      <c r="F16" s="28"/>
      <c r="G16" s="28"/>
      <c r="H16" s="19"/>
      <c r="I16" s="1"/>
    </row>
    <row r="17" spans="1:9" x14ac:dyDescent="0.25">
      <c r="A17" s="1"/>
      <c r="B17" s="1"/>
      <c r="C17" s="1"/>
      <c r="D17" s="1"/>
      <c r="E17" s="1"/>
      <c r="F17" s="1"/>
      <c r="G17" s="1"/>
      <c r="H17" s="1"/>
      <c r="I17" s="1"/>
    </row>
    <row r="18" spans="1:9" x14ac:dyDescent="0.25">
      <c r="A18" s="1"/>
      <c r="B18" s="118" t="s">
        <v>48</v>
      </c>
      <c r="C18" s="119"/>
      <c r="D18" s="119"/>
      <c r="E18" s="119"/>
      <c r="F18" s="119"/>
      <c r="G18" s="119"/>
      <c r="H18" s="120"/>
      <c r="I18" s="1"/>
    </row>
    <row r="19" spans="1:9" x14ac:dyDescent="0.25">
      <c r="A19" s="1"/>
      <c r="B19" s="121" t="s">
        <v>42</v>
      </c>
      <c r="C19" s="122"/>
      <c r="D19" s="122"/>
      <c r="E19" s="122"/>
      <c r="F19" s="123"/>
      <c r="G19" s="23">
        <f>(SUM(G11:G12,G14)-(G15))*(1+'Fane 15. Nøgletal'!C10)</f>
        <v>51853073.760505132</v>
      </c>
      <c r="H19" s="14" t="s">
        <v>3</v>
      </c>
      <c r="I19" s="1"/>
    </row>
    <row r="20" spans="1:9" x14ac:dyDescent="0.25">
      <c r="A20" s="1"/>
      <c r="B20" s="124" t="s">
        <v>245</v>
      </c>
      <c r="C20" s="125"/>
      <c r="D20" s="125"/>
      <c r="E20" s="125"/>
      <c r="F20" s="126"/>
      <c r="G20" s="66">
        <v>0</v>
      </c>
      <c r="H20" s="14" t="s">
        <v>3</v>
      </c>
      <c r="I20" s="1"/>
    </row>
    <row r="21" spans="1:9" x14ac:dyDescent="0.25">
      <c r="A21" s="1"/>
      <c r="B21" s="121" t="s">
        <v>43</v>
      </c>
      <c r="C21" s="122"/>
      <c r="D21" s="122"/>
      <c r="E21" s="122"/>
      <c r="F21" s="123"/>
      <c r="G21" s="23">
        <f>SUM(G19:G20)*'Fane 15. Nøgletal'!C33</f>
        <v>1037061.4752101026</v>
      </c>
      <c r="H21" s="14" t="s">
        <v>3</v>
      </c>
      <c r="I21" s="1"/>
    </row>
    <row r="22" spans="1:9" x14ac:dyDescent="0.25">
      <c r="A22" s="1"/>
      <c r="B22" s="33"/>
      <c r="C22" s="28"/>
      <c r="D22" s="28"/>
      <c r="E22" s="28"/>
      <c r="F22" s="28"/>
      <c r="G22" s="28"/>
      <c r="H22" s="19"/>
      <c r="I22" s="1"/>
    </row>
    <row r="23" spans="1:9" x14ac:dyDescent="0.25">
      <c r="A23" s="1"/>
      <c r="B23" s="1"/>
      <c r="C23" s="1"/>
      <c r="D23" s="1"/>
      <c r="E23" s="1"/>
      <c r="F23" s="1"/>
      <c r="G23" s="1"/>
      <c r="H23" s="1"/>
      <c r="I23" s="1"/>
    </row>
    <row r="24" spans="1:9" x14ac:dyDescent="0.25">
      <c r="A24" s="1"/>
      <c r="B24" s="118" t="s">
        <v>49</v>
      </c>
      <c r="C24" s="119"/>
      <c r="D24" s="119"/>
      <c r="E24" s="119"/>
      <c r="F24" s="119"/>
      <c r="G24" s="119"/>
      <c r="H24" s="120"/>
      <c r="I24" s="1"/>
    </row>
    <row r="25" spans="1:9" x14ac:dyDescent="0.25">
      <c r="A25" s="1"/>
      <c r="B25" s="121" t="s">
        <v>44</v>
      </c>
      <c r="C25" s="122"/>
      <c r="D25" s="122"/>
      <c r="E25" s="122"/>
      <c r="F25" s="123"/>
      <c r="G25" s="23">
        <f>(G19+G20-G21)*(1+'Fane 15. Nøgletal'!C12)</f>
        <v>51817087.727315344</v>
      </c>
      <c r="H25" s="14" t="s">
        <v>3</v>
      </c>
      <c r="I25" s="1"/>
    </row>
    <row r="26" spans="1:9" x14ac:dyDescent="0.25">
      <c r="A26" s="1"/>
      <c r="B26" s="124" t="s">
        <v>246</v>
      </c>
      <c r="C26" s="125"/>
      <c r="D26" s="125"/>
      <c r="E26" s="125"/>
      <c r="F26" s="126"/>
      <c r="G26" s="66">
        <v>0</v>
      </c>
      <c r="H26" s="14" t="s">
        <v>3</v>
      </c>
      <c r="I26" s="1"/>
    </row>
    <row r="27" spans="1:9" x14ac:dyDescent="0.25">
      <c r="A27" s="1"/>
      <c r="B27" s="121" t="s">
        <v>45</v>
      </c>
      <c r="C27" s="122"/>
      <c r="D27" s="122"/>
      <c r="E27" s="122"/>
      <c r="F27" s="123"/>
      <c r="G27" s="23">
        <f>(G25+G26)*'Fane 15. Nøgletal'!C33</f>
        <v>1036341.7545463069</v>
      </c>
      <c r="H27" s="14" t="s">
        <v>3</v>
      </c>
      <c r="I27" s="1"/>
    </row>
    <row r="28" spans="1:9" x14ac:dyDescent="0.25">
      <c r="A28" s="1"/>
      <c r="B28" s="33"/>
      <c r="C28" s="28"/>
      <c r="D28" s="28"/>
      <c r="E28" s="28"/>
      <c r="F28" s="28"/>
      <c r="G28" s="28"/>
      <c r="H28" s="19"/>
      <c r="I28" s="1"/>
    </row>
    <row r="29" spans="1:9" x14ac:dyDescent="0.25">
      <c r="A29" s="1"/>
      <c r="B29" s="1"/>
      <c r="C29" s="1"/>
      <c r="D29" s="1"/>
      <c r="E29" s="1"/>
      <c r="F29" s="1"/>
      <c r="G29" s="1"/>
      <c r="H29" s="1"/>
      <c r="I29" s="1"/>
    </row>
    <row r="30" spans="1:9" x14ac:dyDescent="0.25">
      <c r="A30" s="1"/>
      <c r="B30" s="118" t="s">
        <v>52</v>
      </c>
      <c r="C30" s="119"/>
      <c r="D30" s="119"/>
      <c r="E30" s="119"/>
      <c r="F30" s="119"/>
      <c r="G30" s="119"/>
      <c r="H30" s="120"/>
      <c r="I30" s="1"/>
    </row>
    <row r="31" spans="1:9" x14ac:dyDescent="0.25">
      <c r="A31" s="1"/>
      <c r="B31" s="121" t="s">
        <v>53</v>
      </c>
      <c r="C31" s="122"/>
      <c r="D31" s="122"/>
      <c r="E31" s="122"/>
      <c r="F31" s="123"/>
      <c r="G31" s="23">
        <f>(G25+G26-G27)*(1+'Fane 15. Nøgletal'!C12)</f>
        <v>51781126.668432586</v>
      </c>
      <c r="H31" s="14" t="s">
        <v>3</v>
      </c>
      <c r="I31" s="1"/>
    </row>
    <row r="32" spans="1:9" x14ac:dyDescent="0.25">
      <c r="A32" s="1"/>
      <c r="B32" s="121" t="s">
        <v>243</v>
      </c>
      <c r="C32" s="122"/>
      <c r="D32" s="122"/>
      <c r="E32" s="122"/>
      <c r="F32" s="123"/>
      <c r="G32" s="63">
        <v>0</v>
      </c>
      <c r="H32" s="14" t="s">
        <v>3</v>
      </c>
      <c r="I32" s="1"/>
    </row>
    <row r="33" spans="1:9" x14ac:dyDescent="0.25">
      <c r="A33" s="1"/>
      <c r="B33" s="121" t="s">
        <v>54</v>
      </c>
      <c r="C33" s="122"/>
      <c r="D33" s="122"/>
      <c r="E33" s="122"/>
      <c r="F33" s="123"/>
      <c r="G33" s="23">
        <f>(G31+G32)*'Fane 15. Nøgletal'!C33</f>
        <v>1035622.5333686518</v>
      </c>
      <c r="H33" s="14" t="s">
        <v>3</v>
      </c>
      <c r="I33" s="1"/>
    </row>
    <row r="34" spans="1:9" x14ac:dyDescent="0.25">
      <c r="A34" s="1"/>
      <c r="B34" s="33"/>
      <c r="C34" s="28"/>
      <c r="D34" s="28"/>
      <c r="E34" s="28"/>
      <c r="F34" s="28"/>
      <c r="G34" s="28"/>
      <c r="H34" s="19"/>
      <c r="I34" s="1"/>
    </row>
    <row r="35" spans="1:9" x14ac:dyDescent="0.25">
      <c r="A35" s="1"/>
      <c r="B35" s="1"/>
      <c r="C35" s="1"/>
      <c r="D35" s="1"/>
      <c r="E35" s="1"/>
      <c r="F35" s="1"/>
      <c r="G35" s="1"/>
      <c r="H35" s="1"/>
      <c r="I35" s="1"/>
    </row>
    <row r="36" spans="1:9" x14ac:dyDescent="0.25">
      <c r="A36" s="1"/>
      <c r="B36" s="118" t="s">
        <v>126</v>
      </c>
      <c r="C36" s="119"/>
      <c r="D36" s="119"/>
      <c r="E36" s="119"/>
      <c r="F36" s="119"/>
      <c r="G36" s="119"/>
      <c r="H36" s="120"/>
      <c r="I36" s="1"/>
    </row>
    <row r="37" spans="1:9" x14ac:dyDescent="0.25">
      <c r="A37" s="1"/>
      <c r="B37" s="121" t="s">
        <v>68</v>
      </c>
      <c r="C37" s="122"/>
      <c r="D37" s="122"/>
      <c r="E37" s="122"/>
      <c r="F37" s="123"/>
      <c r="G37" s="23">
        <f>(G31+G32-G33)*(1+'Fane 15. Nøgletal'!C14)</f>
        <v>50912964.298709646</v>
      </c>
      <c r="H37" s="14" t="s">
        <v>3</v>
      </c>
      <c r="I37" s="1"/>
    </row>
    <row r="38" spans="1:9" x14ac:dyDescent="0.25">
      <c r="A38" s="1"/>
      <c r="B38" s="121" t="s">
        <v>242</v>
      </c>
      <c r="C38" s="122"/>
      <c r="D38" s="122"/>
      <c r="E38" s="122"/>
      <c r="F38" s="123"/>
      <c r="G38" s="63">
        <v>429195.73144553008</v>
      </c>
      <c r="H38" s="14" t="s">
        <v>3</v>
      </c>
      <c r="I38" s="1"/>
    </row>
    <row r="39" spans="1:9" x14ac:dyDescent="0.25">
      <c r="A39" s="1"/>
      <c r="B39" s="121" t="s">
        <v>128</v>
      </c>
      <c r="C39" s="122"/>
      <c r="D39" s="122"/>
      <c r="E39" s="122"/>
      <c r="F39" s="123"/>
      <c r="G39" s="23">
        <f>(G37+G38)*'Fane 15. Nøgletal'!C33</f>
        <v>1026843.2006031035</v>
      </c>
      <c r="H39" s="14" t="s">
        <v>3</v>
      </c>
      <c r="I39" s="1"/>
    </row>
    <row r="40" spans="1:9" x14ac:dyDescent="0.25">
      <c r="A40" s="1"/>
      <c r="B40" s="33"/>
      <c r="C40" s="28"/>
      <c r="D40" s="28"/>
      <c r="E40" s="28"/>
      <c r="F40" s="28"/>
      <c r="G40" s="28"/>
      <c r="H40" s="19"/>
      <c r="I40" s="1"/>
    </row>
    <row r="41" spans="1:9" x14ac:dyDescent="0.25">
      <c r="A41" s="1"/>
      <c r="B41" s="1"/>
      <c r="C41" s="1"/>
      <c r="D41" s="1"/>
      <c r="E41" s="1"/>
      <c r="F41" s="1"/>
      <c r="G41" s="1"/>
      <c r="H41" s="1"/>
      <c r="I41" s="1"/>
    </row>
    <row r="42" spans="1:9" x14ac:dyDescent="0.25">
      <c r="A42" s="1"/>
      <c r="B42" s="118" t="s">
        <v>127</v>
      </c>
      <c r="C42" s="119"/>
      <c r="D42" s="119"/>
      <c r="E42" s="119"/>
      <c r="F42" s="119"/>
      <c r="G42" s="119"/>
      <c r="H42" s="120"/>
      <c r="I42" s="1"/>
    </row>
    <row r="43" spans="1:9" x14ac:dyDescent="0.25">
      <c r="A43" s="1"/>
      <c r="B43" s="121" t="s">
        <v>155</v>
      </c>
      <c r="C43" s="122"/>
      <c r="D43" s="122"/>
      <c r="E43" s="122"/>
      <c r="F43" s="123"/>
      <c r="G43" s="23">
        <f>(G37+G38-G39)*(1+'Fane 15. Nøgletal'!C14)</f>
        <v>50481357.375089593</v>
      </c>
      <c r="H43" s="14" t="s">
        <v>3</v>
      </c>
      <c r="I43" s="1"/>
    </row>
    <row r="44" spans="1:9" x14ac:dyDescent="0.25">
      <c r="A44" s="1"/>
      <c r="B44" s="127" t="s">
        <v>157</v>
      </c>
      <c r="C44" s="128"/>
      <c r="D44" s="128"/>
      <c r="E44" s="128"/>
      <c r="F44" s="129"/>
      <c r="G44" s="45">
        <v>763468.06423680019</v>
      </c>
      <c r="H44" s="14" t="s">
        <v>3</v>
      </c>
      <c r="I44" s="1"/>
    </row>
    <row r="45" spans="1:9" x14ac:dyDescent="0.25">
      <c r="A45" s="1"/>
      <c r="B45" s="121" t="s">
        <v>129</v>
      </c>
      <c r="C45" s="122"/>
      <c r="D45" s="122"/>
      <c r="E45" s="122"/>
      <c r="F45" s="123"/>
      <c r="G45" s="23">
        <f>SUM(G43:G44)*'Fane 15. Nøgletal'!C33</f>
        <v>1024896.5087865278</v>
      </c>
      <c r="H45" s="14" t="s">
        <v>3</v>
      </c>
      <c r="I45" s="1"/>
    </row>
    <row r="46" spans="1:9" x14ac:dyDescent="0.25">
      <c r="A46" s="1"/>
      <c r="B46" s="33"/>
      <c r="C46" s="28"/>
      <c r="D46" s="28"/>
      <c r="E46" s="28"/>
      <c r="F46" s="28"/>
      <c r="G46" s="28"/>
      <c r="H46" s="19"/>
      <c r="I46" s="1"/>
    </row>
    <row r="47" spans="1:9" x14ac:dyDescent="0.25">
      <c r="A47" s="1"/>
      <c r="B47" s="1"/>
      <c r="C47" s="1"/>
      <c r="D47" s="1"/>
      <c r="E47" s="1"/>
      <c r="F47" s="1"/>
      <c r="G47" s="1"/>
      <c r="H47" s="1"/>
      <c r="I47" s="1"/>
    </row>
    <row r="48" spans="1:9" x14ac:dyDescent="0.25">
      <c r="A48" s="1"/>
      <c r="B48" s="1"/>
      <c r="C48" s="1"/>
      <c r="D48" s="1"/>
      <c r="E48" s="1"/>
      <c r="F48" s="1"/>
      <c r="G48" s="46"/>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18" t="s">
        <v>192</v>
      </c>
      <c r="C51" s="119"/>
      <c r="D51" s="119"/>
      <c r="E51" s="119"/>
      <c r="F51" s="119"/>
      <c r="G51" s="119"/>
      <c r="H51" s="120"/>
      <c r="I51" s="1"/>
    </row>
    <row r="52" spans="1:9" x14ac:dyDescent="0.25">
      <c r="A52" s="1"/>
      <c r="B52" s="121" t="s">
        <v>154</v>
      </c>
      <c r="C52" s="122"/>
      <c r="D52" s="122"/>
      <c r="E52" s="122"/>
      <c r="F52" s="123"/>
      <c r="G52" s="23">
        <f>(G43+G44-G45)*(1+'Fane 15. Nøgletal'!C16)</f>
        <v>54277699.18812748</v>
      </c>
      <c r="H52" s="14" t="s">
        <v>3</v>
      </c>
      <c r="I52" s="1"/>
    </row>
    <row r="53" spans="1:9" x14ac:dyDescent="0.25">
      <c r="A53" s="1"/>
      <c r="B53" s="79" t="s">
        <v>194</v>
      </c>
      <c r="C53" s="80"/>
      <c r="D53" s="80"/>
      <c r="E53" s="80"/>
      <c r="F53" s="81"/>
      <c r="G53" s="23">
        <f>('Fane 2.1. Økonomisk ramme 2024'!C10+'Fane 2.1. Økonomisk ramme 2024'!C12+'Fane 2.1. Økonomisk ramme 2024'!C14)*(1+'Fane 15. Nøgletal'!C16)</f>
        <v>47744.921902719994</v>
      </c>
      <c r="H53" s="14" t="s">
        <v>3</v>
      </c>
      <c r="I53" s="1"/>
    </row>
    <row r="54" spans="1:9" x14ac:dyDescent="0.25">
      <c r="A54" s="1"/>
      <c r="B54" s="121" t="s">
        <v>210</v>
      </c>
      <c r="C54" s="122"/>
      <c r="D54" s="122"/>
      <c r="E54" s="122"/>
      <c r="F54" s="123"/>
      <c r="G54" s="23">
        <f>(G52)*'Fane 15. Nøgletal'!C33+(G53)*'Fane 15. Nøgletal'!C33</f>
        <v>1086508.8822006041</v>
      </c>
      <c r="H54" s="14" t="s">
        <v>3</v>
      </c>
      <c r="I54" s="1"/>
    </row>
    <row r="55" spans="1:9" x14ac:dyDescent="0.25">
      <c r="A55" s="1"/>
      <c r="B55" s="33"/>
      <c r="C55" s="28"/>
      <c r="D55" s="28"/>
      <c r="E55" s="28"/>
      <c r="F55" s="28"/>
      <c r="G55" s="28"/>
      <c r="H55" s="19"/>
      <c r="I55" s="1"/>
    </row>
    <row r="56" spans="1:9" x14ac:dyDescent="0.25">
      <c r="A56" s="1"/>
      <c r="B56" s="1"/>
      <c r="C56" s="1"/>
      <c r="D56" s="1"/>
      <c r="E56" s="1"/>
      <c r="F56" s="1"/>
      <c r="G56" s="1"/>
      <c r="H56" s="1"/>
      <c r="I56" s="1"/>
    </row>
    <row r="57" spans="1:9" x14ac:dyDescent="0.25">
      <c r="A57" s="1"/>
      <c r="B57" s="118" t="s">
        <v>193</v>
      </c>
      <c r="C57" s="119"/>
      <c r="D57" s="119"/>
      <c r="E57" s="119"/>
      <c r="F57" s="119"/>
      <c r="G57" s="119"/>
      <c r="H57" s="120"/>
      <c r="I57" s="1"/>
    </row>
    <row r="58" spans="1:9" x14ac:dyDescent="0.25">
      <c r="A58" s="1"/>
      <c r="B58" s="79" t="s">
        <v>212</v>
      </c>
      <c r="C58" s="80"/>
      <c r="D58" s="80"/>
      <c r="E58" s="80"/>
      <c r="F58" s="81"/>
      <c r="G58" s="23">
        <f>(G52+G53-G54)*(1+'Fane 15. Nøgletal'!C16)</f>
        <v>57540641.194238231</v>
      </c>
      <c r="H58" s="14" t="s">
        <v>3</v>
      </c>
      <c r="I58" s="1"/>
    </row>
    <row r="59" spans="1:9" x14ac:dyDescent="0.25">
      <c r="A59" s="1"/>
      <c r="B59" s="79" t="s">
        <v>211</v>
      </c>
      <c r="C59" s="80"/>
      <c r="D59" s="80"/>
      <c r="E59" s="80"/>
      <c r="F59" s="81"/>
      <c r="G59" s="23">
        <f>(G58)*'Fane 15. Nøgletal'!C33</f>
        <v>1150812.8238847647</v>
      </c>
      <c r="H59" s="14" t="s">
        <v>3</v>
      </c>
      <c r="I59" s="1"/>
    </row>
    <row r="60" spans="1:9" x14ac:dyDescent="0.25">
      <c r="A60" s="1"/>
      <c r="B60" s="33"/>
      <c r="C60" s="28"/>
      <c r="D60" s="28"/>
      <c r="E60" s="28"/>
      <c r="F60" s="28"/>
      <c r="G60" s="28"/>
      <c r="H60" s="19"/>
      <c r="I60" s="1"/>
    </row>
    <row r="61" spans="1:9" x14ac:dyDescent="0.25">
      <c r="A61" s="1"/>
      <c r="B61" s="1"/>
      <c r="C61" s="1"/>
      <c r="D61" s="1"/>
      <c r="E61" s="1"/>
      <c r="F61" s="1"/>
      <c r="G61" s="1"/>
      <c r="H61" s="1"/>
      <c r="I61" s="1"/>
    </row>
    <row r="62" spans="1:9" x14ac:dyDescent="0.25">
      <c r="A62" s="1"/>
      <c r="B62" s="118" t="s">
        <v>256</v>
      </c>
      <c r="C62" s="119"/>
      <c r="D62" s="119"/>
      <c r="E62" s="119"/>
      <c r="F62" s="119"/>
      <c r="G62" s="119"/>
      <c r="H62" s="120"/>
      <c r="I62" s="1"/>
    </row>
    <row r="63" spans="1:9" x14ac:dyDescent="0.25">
      <c r="A63" s="1"/>
      <c r="B63" s="79" t="s">
        <v>213</v>
      </c>
      <c r="C63" s="80"/>
      <c r="D63" s="80"/>
      <c r="E63" s="80"/>
      <c r="F63" s="81"/>
      <c r="G63" s="23">
        <f>(G58-G59)*(1+'Fane 15. Nøgletal'!C16)</f>
        <v>60946126.502678029</v>
      </c>
      <c r="H63" s="14" t="s">
        <v>3</v>
      </c>
      <c r="I63" s="1"/>
    </row>
    <row r="64" spans="1:9" x14ac:dyDescent="0.25">
      <c r="A64" s="1"/>
      <c r="B64" s="79" t="s">
        <v>214</v>
      </c>
      <c r="C64" s="80"/>
      <c r="D64" s="80"/>
      <c r="E64" s="80"/>
      <c r="F64" s="81"/>
      <c r="G64" s="23">
        <f>(G63)*'Fane 15. Nøgletal'!C33</f>
        <v>1218922.5300535606</v>
      </c>
      <c r="H64" s="14" t="s">
        <v>3</v>
      </c>
      <c r="I64" s="1"/>
    </row>
    <row r="65" spans="1:9" x14ac:dyDescent="0.25">
      <c r="A65" s="1"/>
      <c r="B65" s="33"/>
      <c r="C65" s="28"/>
      <c r="D65" s="28"/>
      <c r="E65" s="28"/>
      <c r="F65" s="28"/>
      <c r="G65" s="28"/>
      <c r="H65" s="19"/>
      <c r="I65" s="1"/>
    </row>
    <row r="66" spans="1:9" x14ac:dyDescent="0.25">
      <c r="A66" s="1"/>
      <c r="B66" s="1"/>
      <c r="C66" s="1"/>
      <c r="D66" s="1"/>
      <c r="E66" s="1"/>
      <c r="F66" s="1"/>
      <c r="G66" s="1"/>
      <c r="H66" s="1"/>
      <c r="I66" s="1"/>
    </row>
    <row r="67" spans="1:9" x14ac:dyDescent="0.25">
      <c r="A67" s="1"/>
      <c r="B67" s="118" t="s">
        <v>257</v>
      </c>
      <c r="C67" s="119"/>
      <c r="D67" s="119"/>
      <c r="E67" s="119"/>
      <c r="F67" s="119"/>
      <c r="G67" s="119"/>
      <c r="H67" s="120"/>
      <c r="I67" s="1"/>
    </row>
    <row r="68" spans="1:9" x14ac:dyDescent="0.25">
      <c r="A68" s="1"/>
      <c r="B68" s="79" t="s">
        <v>213</v>
      </c>
      <c r="C68" s="80"/>
      <c r="D68" s="80"/>
      <c r="E68" s="80"/>
      <c r="F68" s="81"/>
      <c r="G68" s="23">
        <f>(G63-G64)*(1+'Fane 15. Nøgletal'!C16)</f>
        <v>64553162.053612523</v>
      </c>
      <c r="H68" s="14" t="s">
        <v>3</v>
      </c>
      <c r="I68" s="1"/>
    </row>
    <row r="69" spans="1:9" x14ac:dyDescent="0.25">
      <c r="A69" s="1"/>
      <c r="B69" s="79" t="s">
        <v>214</v>
      </c>
      <c r="C69" s="80"/>
      <c r="D69" s="80"/>
      <c r="E69" s="80"/>
      <c r="F69" s="81"/>
      <c r="G69" s="23">
        <f>(G68)*'Fane 15. Nøgletal'!C33</f>
        <v>1291063.2410722505</v>
      </c>
      <c r="H69" s="14" t="s">
        <v>3</v>
      </c>
      <c r="I69" s="1"/>
    </row>
    <row r="70" spans="1:9" x14ac:dyDescent="0.25">
      <c r="A70" s="1"/>
      <c r="B70" s="33"/>
      <c r="C70" s="28"/>
      <c r="D70" s="28"/>
      <c r="E70" s="28"/>
      <c r="F70" s="28"/>
      <c r="G70" s="28"/>
      <c r="H70" s="19"/>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61"/>
      <c r="B74" s="61"/>
      <c r="C74" s="61"/>
      <c r="D74" s="61"/>
      <c r="E74" s="61"/>
      <c r="F74" s="61"/>
      <c r="G74" s="61"/>
      <c r="H74" s="61"/>
      <c r="I74" s="6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sheetData>
  <sheetProtection algorithmName="SHA-512" hashValue="o+aBuOFAn2LYExsISiZuASayUQaub8aiXN1y57SpL3sBKdu7OdXiaitzm3UqqpHNjdL90XkbllTm1eupxhL3DA==" saltValue="sJRAiOZ8ma8STt/C6puviQ==" spinCount="100000" sheet="1" objects="1" scenarios="1"/>
  <mergeCells count="37">
    <mergeCell ref="B67:H67"/>
    <mergeCell ref="B54:F54"/>
    <mergeCell ref="B37:F37"/>
    <mergeCell ref="B32:F32"/>
    <mergeCell ref="B33:F33"/>
    <mergeCell ref="B42:H42"/>
    <mergeCell ref="B43:F43"/>
    <mergeCell ref="B45:F45"/>
    <mergeCell ref="B38:F38"/>
    <mergeCell ref="B39:F39"/>
    <mergeCell ref="B44:F44"/>
    <mergeCell ref="B26:F26"/>
    <mergeCell ref="B27:F27"/>
    <mergeCell ref="B62:H62"/>
    <mergeCell ref="B11:F11"/>
    <mergeCell ref="B10:H10"/>
    <mergeCell ref="B30:H30"/>
    <mergeCell ref="B31:F31"/>
    <mergeCell ref="B36:H36"/>
    <mergeCell ref="B15:F15"/>
    <mergeCell ref="B19:F19"/>
    <mergeCell ref="B20:F20"/>
    <mergeCell ref="B21:F21"/>
    <mergeCell ref="B25:F25"/>
    <mergeCell ref="B57:H57"/>
    <mergeCell ref="B51:H51"/>
    <mergeCell ref="B52:F52"/>
    <mergeCell ref="B6:F6"/>
    <mergeCell ref="B2:H3"/>
    <mergeCell ref="B24:H24"/>
    <mergeCell ref="B4:H4"/>
    <mergeCell ref="B5:F5"/>
    <mergeCell ref="B7:F7"/>
    <mergeCell ref="B12:F12"/>
    <mergeCell ref="B13:F13"/>
    <mergeCell ref="B18:H18"/>
    <mergeCell ref="B14:F1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100"/>
  <sheetViews>
    <sheetView showGridLines="0" view="pageLayout" zoomScale="87" zoomScaleNormal="100" zoomScalePageLayoutView="87" workbookViewId="0"/>
  </sheetViews>
  <sheetFormatPr defaultColWidth="9.140625" defaultRowHeight="15" x14ac:dyDescent="0.25"/>
  <cols>
    <col min="1" max="1" width="2.85546875" style="2" customWidth="1"/>
    <col min="2" max="5" width="9.140625" style="2"/>
    <col min="6" max="6" width="27.5703125" style="2" customWidth="1"/>
    <col min="7" max="7" width="14.140625" style="2" customWidth="1"/>
    <col min="8" max="8" width="3.28515625" style="2" customWidth="1"/>
    <col min="9" max="9" width="2.85546875" style="2" customWidth="1"/>
    <col min="10" max="16384" width="9.140625" style="2"/>
  </cols>
  <sheetData>
    <row r="1" spans="1:9" ht="14.25" customHeight="1" x14ac:dyDescent="0.25">
      <c r="A1" s="1"/>
      <c r="B1" s="130" t="s">
        <v>92</v>
      </c>
      <c r="C1" s="130"/>
      <c r="D1" s="130"/>
      <c r="E1" s="130"/>
      <c r="F1" s="130"/>
      <c r="G1" s="130"/>
      <c r="H1" s="130"/>
      <c r="I1" s="1"/>
    </row>
    <row r="2" spans="1:9" ht="15" customHeight="1" x14ac:dyDescent="0.25">
      <c r="A2" s="1"/>
      <c r="B2" s="130"/>
      <c r="C2" s="130"/>
      <c r="D2" s="130"/>
      <c r="E2" s="130"/>
      <c r="F2" s="130"/>
      <c r="G2" s="130"/>
      <c r="H2" s="130"/>
      <c r="I2" s="1"/>
    </row>
    <row r="3" spans="1:9" ht="15" customHeight="1" x14ac:dyDescent="0.25">
      <c r="A3" s="1"/>
      <c r="B3" s="131"/>
      <c r="C3" s="131"/>
      <c r="D3" s="131"/>
      <c r="E3" s="131"/>
      <c r="F3" s="131"/>
      <c r="G3" s="131"/>
      <c r="H3" s="131"/>
      <c r="I3" s="1"/>
    </row>
    <row r="4" spans="1:9" x14ac:dyDescent="0.25">
      <c r="A4" s="1"/>
      <c r="B4" s="118" t="s">
        <v>50</v>
      </c>
      <c r="C4" s="119"/>
      <c r="D4" s="119"/>
      <c r="E4" s="119"/>
      <c r="F4" s="119"/>
      <c r="G4" s="119"/>
      <c r="H4" s="120"/>
      <c r="I4" s="1"/>
    </row>
    <row r="5" spans="1:9" x14ac:dyDescent="0.25">
      <c r="A5" s="1"/>
      <c r="B5" s="121" t="s">
        <v>55</v>
      </c>
      <c r="C5" s="122"/>
      <c r="D5" s="122"/>
      <c r="E5" s="122"/>
      <c r="F5" s="123"/>
      <c r="G5" s="63">
        <v>78155295.598171026</v>
      </c>
      <c r="H5" s="14" t="s">
        <v>3</v>
      </c>
      <c r="I5" s="1"/>
    </row>
    <row r="6" spans="1:9" x14ac:dyDescent="0.25">
      <c r="A6" s="1"/>
      <c r="B6" s="121" t="s">
        <v>51</v>
      </c>
      <c r="C6" s="122"/>
      <c r="D6" s="122"/>
      <c r="E6" s="122"/>
      <c r="F6" s="123"/>
      <c r="G6" s="23">
        <f>G5*'Fane 15. Nøgletal'!C21</f>
        <v>711213.18994335632</v>
      </c>
      <c r="H6" s="14" t="s">
        <v>3</v>
      </c>
      <c r="I6" s="1"/>
    </row>
    <row r="7" spans="1:9" x14ac:dyDescent="0.25">
      <c r="A7" s="1"/>
      <c r="B7" s="33"/>
      <c r="C7" s="28"/>
      <c r="D7" s="28"/>
      <c r="E7" s="28"/>
      <c r="F7" s="28"/>
      <c r="G7" s="28"/>
      <c r="H7" s="19"/>
      <c r="I7" s="1"/>
    </row>
    <row r="8" spans="1:9" x14ac:dyDescent="0.25">
      <c r="A8" s="1"/>
      <c r="B8" s="1"/>
      <c r="C8" s="1"/>
      <c r="D8" s="1"/>
      <c r="E8" s="1"/>
      <c r="F8" s="1"/>
      <c r="G8" s="1"/>
      <c r="H8" s="1"/>
      <c r="I8" s="1"/>
    </row>
    <row r="9" spans="1:9" x14ac:dyDescent="0.25">
      <c r="A9" s="1"/>
      <c r="B9" s="118" t="s">
        <v>56</v>
      </c>
      <c r="C9" s="119"/>
      <c r="D9" s="119"/>
      <c r="E9" s="119"/>
      <c r="F9" s="119"/>
      <c r="G9" s="119"/>
      <c r="H9" s="120"/>
      <c r="I9" s="1"/>
    </row>
    <row r="10" spans="1:9" x14ac:dyDescent="0.25">
      <c r="A10" s="1"/>
      <c r="B10" s="121" t="s">
        <v>57</v>
      </c>
      <c r="C10" s="122"/>
      <c r="D10" s="122"/>
      <c r="E10" s="122"/>
      <c r="F10" s="123"/>
      <c r="G10" s="23">
        <f>(G5-G6)*(1+'Fane 15. Nøgletal'!C10)</f>
        <v>78799353.850371659</v>
      </c>
      <c r="H10" s="14" t="s">
        <v>3</v>
      </c>
      <c r="I10" s="1"/>
    </row>
    <row r="11" spans="1:9" x14ac:dyDescent="0.25">
      <c r="A11" s="1"/>
      <c r="B11" s="121" t="s">
        <v>104</v>
      </c>
      <c r="C11" s="122"/>
      <c r="D11" s="122"/>
      <c r="E11" s="122"/>
      <c r="F11" s="123"/>
      <c r="G11" s="63">
        <v>38297.909850191325</v>
      </c>
      <c r="H11" s="14" t="s">
        <v>3</v>
      </c>
      <c r="I11" s="1"/>
    </row>
    <row r="12" spans="1:9" x14ac:dyDescent="0.25">
      <c r="A12" s="1"/>
      <c r="B12" s="124" t="s">
        <v>247</v>
      </c>
      <c r="C12" s="125"/>
      <c r="D12" s="125"/>
      <c r="E12" s="125"/>
      <c r="F12" s="126"/>
      <c r="G12" s="66">
        <v>0</v>
      </c>
      <c r="H12" s="14" t="s">
        <v>3</v>
      </c>
      <c r="I12" s="1"/>
    </row>
    <row r="13" spans="1:9" x14ac:dyDescent="0.25">
      <c r="A13" s="1"/>
      <c r="B13" s="121" t="s">
        <v>58</v>
      </c>
      <c r="C13" s="122"/>
      <c r="D13" s="122"/>
      <c r="E13" s="122"/>
      <c r="F13" s="123"/>
      <c r="G13" s="23">
        <f>SUM(G10:G12)*'Fane 15. Nøgletal'!C22</f>
        <v>1395426.4361559269</v>
      </c>
      <c r="H13" s="14" t="s">
        <v>3</v>
      </c>
      <c r="I13" s="1"/>
    </row>
    <row r="14" spans="1:9" x14ac:dyDescent="0.25">
      <c r="A14" s="1"/>
      <c r="B14" s="33"/>
      <c r="C14" s="28"/>
      <c r="D14" s="28"/>
      <c r="E14" s="28"/>
      <c r="F14" s="28"/>
      <c r="G14" s="28"/>
      <c r="H14" s="19"/>
      <c r="I14" s="1"/>
    </row>
    <row r="15" spans="1:9" x14ac:dyDescent="0.25">
      <c r="A15" s="1"/>
      <c r="B15" s="1"/>
      <c r="C15" s="1"/>
      <c r="D15" s="1"/>
      <c r="E15" s="1"/>
      <c r="F15" s="1"/>
      <c r="G15" s="1"/>
      <c r="H15" s="1"/>
      <c r="I15" s="1"/>
    </row>
    <row r="16" spans="1:9" x14ac:dyDescent="0.25">
      <c r="A16" s="1"/>
      <c r="B16" s="118" t="s">
        <v>59</v>
      </c>
      <c r="C16" s="119"/>
      <c r="D16" s="119"/>
      <c r="E16" s="119"/>
      <c r="F16" s="119"/>
      <c r="G16" s="119"/>
      <c r="H16" s="120"/>
      <c r="I16" s="1"/>
    </row>
    <row r="17" spans="1:9" x14ac:dyDescent="0.25">
      <c r="A17" s="1"/>
      <c r="B17" s="121" t="s">
        <v>60</v>
      </c>
      <c r="C17" s="122"/>
      <c r="D17" s="122"/>
      <c r="E17" s="122"/>
      <c r="F17" s="123"/>
      <c r="G17" s="23">
        <f>(SUM(G10:G12)-G13)*(1+'Fane 15. Nøgletal'!C10)</f>
        <v>78797464.267237082</v>
      </c>
      <c r="H17" s="14" t="s">
        <v>3</v>
      </c>
      <c r="I17" s="1"/>
    </row>
    <row r="18" spans="1:9" x14ac:dyDescent="0.25">
      <c r="A18" s="1"/>
      <c r="B18" s="124" t="s">
        <v>248</v>
      </c>
      <c r="C18" s="125"/>
      <c r="D18" s="125"/>
      <c r="E18" s="125"/>
      <c r="F18" s="126"/>
      <c r="G18" s="63">
        <v>7591.2224630099981</v>
      </c>
      <c r="H18" s="14" t="s">
        <v>3</v>
      </c>
      <c r="I18" s="1"/>
    </row>
    <row r="19" spans="1:9" x14ac:dyDescent="0.25">
      <c r="A19" s="1"/>
      <c r="B19" s="121" t="s">
        <v>61</v>
      </c>
      <c r="C19" s="122"/>
      <c r="D19" s="122"/>
      <c r="E19" s="122"/>
      <c r="F19" s="123"/>
      <c r="G19" s="23">
        <f>G17*'Fane 15. Nøgletal'!C22+G18*'Fane 15. Nøgletal'!C23</f>
        <v>1394781.1611655245</v>
      </c>
      <c r="H19" s="14" t="s">
        <v>3</v>
      </c>
      <c r="I19" s="1"/>
    </row>
    <row r="20" spans="1:9" x14ac:dyDescent="0.25">
      <c r="A20" s="1"/>
      <c r="B20" s="33"/>
      <c r="C20" s="28"/>
      <c r="D20" s="28"/>
      <c r="E20" s="28"/>
      <c r="F20" s="28"/>
      <c r="G20" s="28"/>
      <c r="H20" s="19"/>
      <c r="I20" s="1"/>
    </row>
    <row r="21" spans="1:9" x14ac:dyDescent="0.25">
      <c r="A21" s="1"/>
      <c r="B21" s="1"/>
      <c r="C21" s="1"/>
      <c r="D21" s="1"/>
      <c r="E21" s="1"/>
      <c r="F21" s="1"/>
      <c r="G21" s="1"/>
      <c r="H21" s="1"/>
      <c r="I21" s="1"/>
    </row>
    <row r="22" spans="1:9" x14ac:dyDescent="0.25">
      <c r="A22" s="1"/>
      <c r="B22" s="118" t="s">
        <v>62</v>
      </c>
      <c r="C22" s="119"/>
      <c r="D22" s="119"/>
      <c r="E22" s="119"/>
      <c r="F22" s="119"/>
      <c r="G22" s="119"/>
      <c r="H22" s="120"/>
      <c r="I22" s="1"/>
    </row>
    <row r="23" spans="1:9" x14ac:dyDescent="0.25">
      <c r="A23" s="1"/>
      <c r="B23" s="121" t="s">
        <v>63</v>
      </c>
      <c r="C23" s="122"/>
      <c r="D23" s="122"/>
      <c r="E23" s="122"/>
      <c r="F23" s="123"/>
      <c r="G23" s="23">
        <f>(G17+G18-G19)*(1+'Fane 15. Nøgletal'!C12)</f>
        <v>78935256.732806712</v>
      </c>
      <c r="H23" s="14" t="s">
        <v>3</v>
      </c>
      <c r="I23" s="1"/>
    </row>
    <row r="24" spans="1:9" x14ac:dyDescent="0.25">
      <c r="A24" s="1"/>
      <c r="B24" s="124" t="s">
        <v>249</v>
      </c>
      <c r="C24" s="125"/>
      <c r="D24" s="125"/>
      <c r="E24" s="125"/>
      <c r="F24" s="126"/>
      <c r="G24" s="63">
        <v>2091595.0870663498</v>
      </c>
      <c r="H24" s="14" t="s">
        <v>3</v>
      </c>
      <c r="I24" s="1"/>
    </row>
    <row r="25" spans="1:9" x14ac:dyDescent="0.25">
      <c r="A25" s="1"/>
      <c r="B25" s="121" t="s">
        <v>64</v>
      </c>
      <c r="C25" s="122"/>
      <c r="D25" s="122"/>
      <c r="E25" s="122"/>
      <c r="F25" s="123"/>
      <c r="G25" s="23">
        <f>(G23+G24)*'Fane 15. Nøgletal'!C24</f>
        <v>2301162.591684395</v>
      </c>
      <c r="H25" s="14" t="s">
        <v>3</v>
      </c>
      <c r="I25" s="1"/>
    </row>
    <row r="26" spans="1:9" x14ac:dyDescent="0.25">
      <c r="A26" s="1"/>
      <c r="B26" s="33"/>
      <c r="C26" s="28"/>
      <c r="D26" s="28"/>
      <c r="E26" s="28"/>
      <c r="F26" s="28"/>
      <c r="G26" s="28"/>
      <c r="H26" s="19"/>
      <c r="I26" s="1"/>
    </row>
    <row r="27" spans="1:9" x14ac:dyDescent="0.25">
      <c r="A27" s="1"/>
      <c r="B27" s="1"/>
      <c r="C27" s="1"/>
      <c r="D27" s="1"/>
      <c r="E27" s="1"/>
      <c r="F27" s="1"/>
      <c r="G27" s="1"/>
      <c r="H27" s="1"/>
      <c r="I27" s="1"/>
    </row>
    <row r="28" spans="1:9" x14ac:dyDescent="0.25">
      <c r="A28" s="1"/>
      <c r="B28" s="118" t="s">
        <v>65</v>
      </c>
      <c r="C28" s="119"/>
      <c r="D28" s="119"/>
      <c r="E28" s="119"/>
      <c r="F28" s="119"/>
      <c r="G28" s="119"/>
      <c r="H28" s="120"/>
      <c r="I28" s="1"/>
    </row>
    <row r="29" spans="1:9" x14ac:dyDescent="0.25">
      <c r="A29" s="1"/>
      <c r="B29" s="121" t="s">
        <v>66</v>
      </c>
      <c r="C29" s="122"/>
      <c r="D29" s="122"/>
      <c r="E29" s="122"/>
      <c r="F29" s="123"/>
      <c r="G29" s="23">
        <f>(G23+G24-G25)*(1+'Fane 15. Nøgletal'!C12)</f>
        <v>80276585.30598399</v>
      </c>
      <c r="H29" s="14" t="s">
        <v>3</v>
      </c>
      <c r="I29" s="1"/>
    </row>
    <row r="30" spans="1:9" x14ac:dyDescent="0.25">
      <c r="A30" s="1"/>
      <c r="B30" s="121" t="s">
        <v>250</v>
      </c>
      <c r="C30" s="122"/>
      <c r="D30" s="122"/>
      <c r="E30" s="122"/>
      <c r="F30" s="123"/>
      <c r="G30" s="63">
        <v>16580.273877719999</v>
      </c>
      <c r="H30" s="14" t="s">
        <v>3</v>
      </c>
      <c r="I30" s="1"/>
    </row>
    <row r="31" spans="1:9" x14ac:dyDescent="0.25">
      <c r="A31" s="1"/>
      <c r="B31" s="121" t="s">
        <v>67</v>
      </c>
      <c r="C31" s="122"/>
      <c r="D31" s="122"/>
      <c r="E31" s="122"/>
      <c r="F31" s="123"/>
      <c r="G31" s="23">
        <f>G29*'Fane 15. Nøgletal'!C24+G30*'Fane 15. Nøgletal'!C25</f>
        <v>2280310.980221583</v>
      </c>
      <c r="H31" s="14" t="s">
        <v>3</v>
      </c>
      <c r="I31" s="1"/>
    </row>
    <row r="32" spans="1:9" x14ac:dyDescent="0.25">
      <c r="A32" s="1"/>
      <c r="B32" s="33"/>
      <c r="C32" s="28"/>
      <c r="D32" s="28"/>
      <c r="E32" s="28"/>
      <c r="F32" s="28"/>
      <c r="G32" s="28"/>
      <c r="H32" s="19"/>
      <c r="I32" s="1"/>
    </row>
    <row r="33" spans="1:9" x14ac:dyDescent="0.25">
      <c r="A33" s="1"/>
      <c r="B33" s="1"/>
      <c r="C33" s="1"/>
      <c r="D33" s="1"/>
      <c r="E33" s="1"/>
      <c r="F33" s="1"/>
      <c r="G33" s="1"/>
      <c r="H33" s="1"/>
      <c r="I33" s="1"/>
    </row>
    <row r="34" spans="1:9" x14ac:dyDescent="0.25">
      <c r="A34" s="1"/>
      <c r="B34" s="118" t="s">
        <v>130</v>
      </c>
      <c r="C34" s="119"/>
      <c r="D34" s="119"/>
      <c r="E34" s="119"/>
      <c r="F34" s="119"/>
      <c r="G34" s="119"/>
      <c r="H34" s="120"/>
      <c r="I34" s="1"/>
    </row>
    <row r="35" spans="1:9" x14ac:dyDescent="0.25">
      <c r="A35" s="1"/>
      <c r="B35" s="121" t="s">
        <v>215</v>
      </c>
      <c r="C35" s="122"/>
      <c r="D35" s="122"/>
      <c r="E35" s="122"/>
      <c r="F35" s="123"/>
      <c r="G35" s="23">
        <f>(G29+G30-G31)*(1+'Fane 15. Nøgletal'!C14)</f>
        <v>78270297.019818947</v>
      </c>
      <c r="H35" s="14" t="s">
        <v>3</v>
      </c>
      <c r="I35" s="1"/>
    </row>
    <row r="36" spans="1:9" x14ac:dyDescent="0.25">
      <c r="A36" s="1"/>
      <c r="B36" s="121" t="s">
        <v>251</v>
      </c>
      <c r="C36" s="122"/>
      <c r="D36" s="122"/>
      <c r="E36" s="122"/>
      <c r="F36" s="123"/>
      <c r="G36" s="63">
        <v>541462.03739634017</v>
      </c>
      <c r="H36" s="14" t="s">
        <v>3</v>
      </c>
      <c r="I36" s="1"/>
    </row>
    <row r="37" spans="1:9" x14ac:dyDescent="0.25">
      <c r="A37" s="1"/>
      <c r="B37" s="121" t="s">
        <v>131</v>
      </c>
      <c r="C37" s="122"/>
      <c r="D37" s="122"/>
      <c r="E37" s="122"/>
      <c r="F37" s="123"/>
      <c r="G37" s="23">
        <f>(G35+G36)*'Fane 15. Nøgletal'!C26</f>
        <v>1166414.0340467864</v>
      </c>
      <c r="H37" s="14" t="s">
        <v>3</v>
      </c>
      <c r="I37" s="1"/>
    </row>
    <row r="38" spans="1:9" x14ac:dyDescent="0.25">
      <c r="A38" s="1"/>
      <c r="B38" s="33"/>
      <c r="C38" s="28"/>
      <c r="D38" s="28"/>
      <c r="E38" s="28"/>
      <c r="F38" s="28"/>
      <c r="G38" s="28"/>
      <c r="H38" s="19"/>
      <c r="I38" s="1"/>
    </row>
    <row r="39" spans="1:9" x14ac:dyDescent="0.25">
      <c r="A39" s="1"/>
      <c r="B39" s="1"/>
      <c r="C39" s="1"/>
      <c r="D39" s="1"/>
      <c r="E39" s="1"/>
      <c r="F39" s="1"/>
      <c r="G39" s="1"/>
      <c r="H39" s="1"/>
      <c r="I39" s="1"/>
    </row>
    <row r="40" spans="1:9" x14ac:dyDescent="0.25">
      <c r="A40" s="1"/>
      <c r="B40" s="118" t="s">
        <v>151</v>
      </c>
      <c r="C40" s="119"/>
      <c r="D40" s="119"/>
      <c r="E40" s="119"/>
      <c r="F40" s="119"/>
      <c r="G40" s="119"/>
      <c r="H40" s="120"/>
      <c r="I40" s="1"/>
    </row>
    <row r="41" spans="1:9" x14ac:dyDescent="0.25">
      <c r="A41" s="1"/>
      <c r="B41" s="121" t="s">
        <v>216</v>
      </c>
      <c r="C41" s="122"/>
      <c r="D41" s="122"/>
      <c r="E41" s="122"/>
      <c r="F41" s="123"/>
      <c r="G41" s="23">
        <f>(G35+G36-G37)*(1+'Fane 15. Nøgletal'!C14)</f>
        <v>77901574.661744967</v>
      </c>
      <c r="H41" s="14" t="s">
        <v>3</v>
      </c>
      <c r="I41" s="1"/>
    </row>
    <row r="42" spans="1:9" x14ac:dyDescent="0.25">
      <c r="A42" s="1"/>
      <c r="B42" s="40" t="s">
        <v>156</v>
      </c>
      <c r="C42" s="80"/>
      <c r="D42" s="80"/>
      <c r="E42" s="80"/>
      <c r="F42" s="81"/>
      <c r="G42" s="23">
        <v>1574184.7504857604</v>
      </c>
      <c r="H42" s="14" t="s">
        <v>3</v>
      </c>
      <c r="I42" s="1"/>
    </row>
    <row r="43" spans="1:9" x14ac:dyDescent="0.25">
      <c r="A43" s="1"/>
      <c r="B43" s="121" t="s">
        <v>132</v>
      </c>
      <c r="C43" s="122"/>
      <c r="D43" s="122"/>
      <c r="E43" s="122"/>
      <c r="F43" s="123"/>
      <c r="G43" s="23">
        <f>(G41)*'Fane 15. Nøgletal'!C26+G42*'Fane 15. Nøgletal'!C27</f>
        <v>1152943.3049938255</v>
      </c>
      <c r="H43" s="14" t="s">
        <v>3</v>
      </c>
      <c r="I43" s="1"/>
    </row>
    <row r="44" spans="1:9" x14ac:dyDescent="0.25">
      <c r="A44" s="1"/>
      <c r="B44" s="33"/>
      <c r="C44" s="28"/>
      <c r="D44" s="28"/>
      <c r="E44" s="28"/>
      <c r="F44" s="28"/>
      <c r="G44" s="28"/>
      <c r="H44" s="19"/>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1"/>
      <c r="B51" s="1"/>
      <c r="C51" s="1"/>
      <c r="D51" s="1"/>
      <c r="E51" s="1"/>
      <c r="F51" s="1"/>
      <c r="G51" s="1"/>
      <c r="H51" s="1"/>
      <c r="I51" s="1"/>
    </row>
    <row r="52" spans="1:9" x14ac:dyDescent="0.25">
      <c r="A52" s="1"/>
      <c r="B52" s="118" t="s">
        <v>259</v>
      </c>
      <c r="C52" s="119"/>
      <c r="D52" s="119"/>
      <c r="E52" s="119"/>
      <c r="F52" s="119"/>
      <c r="G52" s="119"/>
      <c r="H52" s="120"/>
      <c r="I52" s="1"/>
    </row>
    <row r="53" spans="1:9" x14ac:dyDescent="0.25">
      <c r="A53" s="1"/>
      <c r="B53" s="121" t="s">
        <v>217</v>
      </c>
      <c r="C53" s="122"/>
      <c r="D53" s="122"/>
      <c r="E53" s="122"/>
      <c r="F53" s="123"/>
      <c r="G53" s="23">
        <f>(G41+G42-G43)*(1+'Fane 15. Nøgletal'!C16)</f>
        <v>84651299.648701653</v>
      </c>
      <c r="H53" s="14" t="s">
        <v>3</v>
      </c>
      <c r="I53" s="1"/>
    </row>
    <row r="54" spans="1:9" x14ac:dyDescent="0.25">
      <c r="A54" s="1"/>
      <c r="B54" s="79" t="s">
        <v>195</v>
      </c>
      <c r="C54" s="80"/>
      <c r="D54" s="80"/>
      <c r="E54" s="80"/>
      <c r="F54" s="81"/>
      <c r="G54" s="23">
        <f>('Fane 2.1. Økonomisk ramme 2024'!C11+'Fane 2.1. Økonomisk ramme 2024'!C13+'Fane 2.1. Økonomisk ramme 2024'!C15)*(1+'Fane 15. Nøgletal'!C16)</f>
        <v>167439.55925759999</v>
      </c>
      <c r="H54" s="14" t="s">
        <v>3</v>
      </c>
      <c r="I54" s="1"/>
    </row>
    <row r="55" spans="1:9" x14ac:dyDescent="0.25">
      <c r="A55" s="1"/>
      <c r="B55" s="121" t="s">
        <v>218</v>
      </c>
      <c r="C55" s="122"/>
      <c r="D55" s="122"/>
      <c r="E55" s="122"/>
      <c r="F55" s="123"/>
      <c r="G55" s="73">
        <v>0</v>
      </c>
      <c r="H55" s="14" t="s">
        <v>3</v>
      </c>
      <c r="I55" s="1"/>
    </row>
    <row r="56" spans="1:9" x14ac:dyDescent="0.25">
      <c r="A56" s="1"/>
      <c r="B56" s="33"/>
      <c r="C56" s="28"/>
      <c r="D56" s="28"/>
      <c r="E56" s="28"/>
      <c r="F56" s="28"/>
      <c r="G56" s="28"/>
      <c r="H56" s="19"/>
      <c r="I56" s="1"/>
    </row>
    <row r="57" spans="1:9" x14ac:dyDescent="0.25">
      <c r="A57" s="1"/>
      <c r="B57" s="1"/>
      <c r="C57" s="1"/>
      <c r="D57" s="1"/>
      <c r="E57" s="1"/>
      <c r="F57" s="1"/>
      <c r="G57" s="1"/>
      <c r="H57" s="1"/>
      <c r="I57" s="1"/>
    </row>
    <row r="58" spans="1:9" x14ac:dyDescent="0.25">
      <c r="A58" s="1"/>
      <c r="B58" s="118" t="s">
        <v>258</v>
      </c>
      <c r="C58" s="119"/>
      <c r="D58" s="119"/>
      <c r="E58" s="119"/>
      <c r="F58" s="119"/>
      <c r="G58" s="119"/>
      <c r="H58" s="120"/>
      <c r="I58" s="1"/>
    </row>
    <row r="59" spans="1:9" x14ac:dyDescent="0.25">
      <c r="A59" s="1"/>
      <c r="B59" s="121" t="s">
        <v>219</v>
      </c>
      <c r="C59" s="122"/>
      <c r="D59" s="122"/>
      <c r="E59" s="122"/>
      <c r="F59" s="123"/>
      <c r="G59" s="23">
        <f>(G53+G54-G55)*(1+'Fane 15. Nøgletal'!C16)</f>
        <v>91672093.335962355</v>
      </c>
      <c r="H59" s="14" t="s">
        <v>3</v>
      </c>
      <c r="I59" s="1"/>
    </row>
    <row r="60" spans="1:9" x14ac:dyDescent="0.25">
      <c r="A60" s="1"/>
      <c r="B60" s="121" t="s">
        <v>220</v>
      </c>
      <c r="C60" s="122"/>
      <c r="D60" s="122"/>
      <c r="E60" s="122"/>
      <c r="F60" s="123"/>
      <c r="G60" s="73">
        <f>(G59)*'Fane 15. Nøgletal'!C28</f>
        <v>0</v>
      </c>
      <c r="H60" s="14" t="s">
        <v>3</v>
      </c>
      <c r="I60" s="1"/>
    </row>
    <row r="61" spans="1:9" x14ac:dyDescent="0.25">
      <c r="A61" s="1"/>
      <c r="B61" s="33"/>
      <c r="C61" s="28"/>
      <c r="D61" s="28"/>
      <c r="E61" s="28"/>
      <c r="F61" s="28"/>
      <c r="G61" s="28"/>
      <c r="H61" s="19"/>
      <c r="I61" s="1"/>
    </row>
    <row r="62" spans="1:9" x14ac:dyDescent="0.25">
      <c r="A62" s="1"/>
      <c r="B62" s="1"/>
      <c r="C62" s="1"/>
      <c r="D62" s="1"/>
      <c r="E62" s="1"/>
      <c r="F62" s="1"/>
      <c r="G62" s="1"/>
      <c r="H62" s="1"/>
      <c r="I62" s="1"/>
    </row>
    <row r="63" spans="1:9" x14ac:dyDescent="0.25">
      <c r="A63" s="1"/>
      <c r="B63" s="118" t="s">
        <v>141</v>
      </c>
      <c r="C63" s="119"/>
      <c r="D63" s="119"/>
      <c r="E63" s="119"/>
      <c r="F63" s="119"/>
      <c r="G63" s="119"/>
      <c r="H63" s="120"/>
      <c r="I63" s="1"/>
    </row>
    <row r="64" spans="1:9" x14ac:dyDescent="0.25">
      <c r="A64" s="1"/>
      <c r="B64" s="121" t="s">
        <v>221</v>
      </c>
      <c r="C64" s="122"/>
      <c r="D64" s="122"/>
      <c r="E64" s="122"/>
      <c r="F64" s="123"/>
      <c r="G64" s="23">
        <f>(G59-G60)*(1+'Fane 15. Nøgletal'!C16)</f>
        <v>99079198.477508113</v>
      </c>
      <c r="H64" s="14" t="s">
        <v>3</v>
      </c>
      <c r="I64" s="1"/>
    </row>
    <row r="65" spans="1:9" x14ac:dyDescent="0.25">
      <c r="A65" s="1"/>
      <c r="B65" s="121" t="s">
        <v>222</v>
      </c>
      <c r="C65" s="122"/>
      <c r="D65" s="122"/>
      <c r="E65" s="122"/>
      <c r="F65" s="123"/>
      <c r="G65" s="73">
        <f>(G64)*'Fane 15. Nøgletal'!C28</f>
        <v>0</v>
      </c>
      <c r="H65" s="14" t="s">
        <v>3</v>
      </c>
      <c r="I65" s="1"/>
    </row>
    <row r="66" spans="1:9" x14ac:dyDescent="0.25">
      <c r="A66" s="1"/>
      <c r="B66" s="33"/>
      <c r="C66" s="28"/>
      <c r="D66" s="28"/>
      <c r="E66" s="28"/>
      <c r="F66" s="28"/>
      <c r="G66" s="28"/>
      <c r="H66" s="19"/>
      <c r="I66" s="1"/>
    </row>
    <row r="67" spans="1:9" x14ac:dyDescent="0.25">
      <c r="A67" s="1"/>
      <c r="B67" s="1"/>
      <c r="C67" s="1"/>
      <c r="D67" s="1"/>
      <c r="E67" s="1"/>
      <c r="F67" s="1"/>
      <c r="G67" s="1"/>
      <c r="H67" s="1"/>
      <c r="I67" s="1"/>
    </row>
    <row r="68" spans="1:9" x14ac:dyDescent="0.25">
      <c r="A68" s="1"/>
      <c r="B68" s="118" t="s">
        <v>223</v>
      </c>
      <c r="C68" s="119"/>
      <c r="D68" s="119"/>
      <c r="E68" s="119"/>
      <c r="F68" s="119"/>
      <c r="G68" s="119"/>
      <c r="H68" s="120"/>
      <c r="I68" s="1"/>
    </row>
    <row r="69" spans="1:9" x14ac:dyDescent="0.25">
      <c r="A69" s="1"/>
      <c r="B69" s="121" t="s">
        <v>221</v>
      </c>
      <c r="C69" s="122"/>
      <c r="D69" s="122"/>
      <c r="E69" s="122"/>
      <c r="F69" s="123"/>
      <c r="G69" s="23">
        <f>(G64-G65)*(1+'Fane 15. Nøgletal'!C16)</f>
        <v>107084797.71449077</v>
      </c>
      <c r="H69" s="14" t="s">
        <v>3</v>
      </c>
      <c r="I69" s="1"/>
    </row>
    <row r="70" spans="1:9" x14ac:dyDescent="0.25">
      <c r="A70" s="1"/>
      <c r="B70" s="121" t="s">
        <v>222</v>
      </c>
      <c r="C70" s="122"/>
      <c r="D70" s="122"/>
      <c r="E70" s="122"/>
      <c r="F70" s="123"/>
      <c r="G70" s="73">
        <f>(G69)*'Fane 15. Nøgletal'!C28</f>
        <v>0</v>
      </c>
      <c r="H70" s="14" t="s">
        <v>3</v>
      </c>
      <c r="I70" s="1"/>
    </row>
    <row r="71" spans="1:9" x14ac:dyDescent="0.25">
      <c r="A71" s="1"/>
      <c r="B71" s="33"/>
      <c r="C71" s="28"/>
      <c r="D71" s="28"/>
      <c r="E71" s="28"/>
      <c r="F71" s="28"/>
      <c r="G71" s="28"/>
      <c r="H71" s="19"/>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61"/>
      <c r="B75" s="61"/>
      <c r="C75" s="61"/>
      <c r="D75" s="61"/>
      <c r="E75" s="61"/>
      <c r="F75" s="61"/>
      <c r="G75" s="61"/>
      <c r="H75" s="61"/>
      <c r="I75" s="61"/>
    </row>
    <row r="76" spans="1:9" x14ac:dyDescent="0.25">
      <c r="A76" s="61"/>
      <c r="B76" s="61"/>
      <c r="C76" s="61"/>
      <c r="D76" s="61"/>
      <c r="E76" s="61"/>
      <c r="F76" s="61"/>
      <c r="G76" s="61"/>
      <c r="H76" s="61"/>
      <c r="I76" s="61"/>
    </row>
    <row r="77" spans="1:9" x14ac:dyDescent="0.25">
      <c r="A77" s="61"/>
      <c r="B77" s="61"/>
      <c r="C77" s="61"/>
      <c r="D77" s="61"/>
      <c r="E77" s="61"/>
      <c r="F77" s="61"/>
      <c r="G77" s="61"/>
      <c r="H77" s="61"/>
      <c r="I77" s="61"/>
    </row>
    <row r="78" spans="1:9" x14ac:dyDescent="0.25">
      <c r="A78" s="61"/>
      <c r="B78" s="61"/>
      <c r="C78" s="61"/>
      <c r="D78" s="61"/>
      <c r="E78" s="61"/>
      <c r="F78" s="61"/>
      <c r="G78" s="61"/>
      <c r="H78" s="61"/>
      <c r="I78" s="61"/>
    </row>
    <row r="79" spans="1:9" x14ac:dyDescent="0.25">
      <c r="A79" s="61"/>
      <c r="B79" s="61"/>
      <c r="C79" s="61"/>
      <c r="D79" s="61"/>
      <c r="E79" s="61"/>
      <c r="F79" s="61"/>
      <c r="G79" s="61"/>
      <c r="H79" s="61"/>
      <c r="I79" s="61"/>
    </row>
    <row r="80" spans="1:9" x14ac:dyDescent="0.25">
      <c r="A80" s="61"/>
      <c r="B80" s="61"/>
      <c r="C80" s="61"/>
      <c r="D80" s="61"/>
      <c r="E80" s="61"/>
      <c r="F80" s="61"/>
      <c r="G80" s="61"/>
      <c r="H80" s="61"/>
      <c r="I80" s="61"/>
    </row>
    <row r="81" spans="1:9" x14ac:dyDescent="0.25">
      <c r="A81" s="61"/>
      <c r="B81" s="61"/>
      <c r="C81" s="61"/>
      <c r="D81" s="61"/>
      <c r="E81" s="61"/>
      <c r="F81" s="61"/>
      <c r="G81" s="61"/>
      <c r="H81" s="61"/>
      <c r="I81" s="61"/>
    </row>
    <row r="82" spans="1:9" x14ac:dyDescent="0.25">
      <c r="A82" s="61"/>
      <c r="B82" s="61"/>
      <c r="C82" s="61"/>
      <c r="D82" s="61"/>
      <c r="E82" s="61"/>
      <c r="F82" s="61"/>
      <c r="G82" s="61"/>
      <c r="H82" s="61"/>
      <c r="I82" s="61"/>
    </row>
    <row r="83" spans="1:9" x14ac:dyDescent="0.25">
      <c r="A83" s="61"/>
      <c r="B83" s="61"/>
      <c r="C83" s="61"/>
      <c r="D83" s="61"/>
      <c r="E83" s="61"/>
      <c r="F83" s="61"/>
      <c r="G83" s="61"/>
      <c r="H83" s="61"/>
      <c r="I83" s="61"/>
    </row>
    <row r="84" spans="1:9" x14ac:dyDescent="0.25">
      <c r="A84" s="61"/>
      <c r="B84" s="61"/>
      <c r="C84" s="61"/>
      <c r="D84" s="61"/>
      <c r="E84" s="61"/>
      <c r="F84" s="61"/>
      <c r="G84" s="61"/>
      <c r="H84" s="61"/>
      <c r="I84" s="61"/>
    </row>
    <row r="85" spans="1:9" x14ac:dyDescent="0.25">
      <c r="A85" s="61"/>
      <c r="B85" s="61"/>
      <c r="C85" s="61"/>
      <c r="D85" s="61"/>
      <c r="E85" s="61"/>
      <c r="F85" s="61"/>
      <c r="G85" s="61"/>
      <c r="H85" s="61"/>
      <c r="I85" s="61"/>
    </row>
    <row r="86" spans="1:9" x14ac:dyDescent="0.25">
      <c r="A86" s="61"/>
      <c r="B86" s="61"/>
      <c r="C86" s="61"/>
      <c r="D86" s="61"/>
      <c r="E86" s="61"/>
      <c r="F86" s="61"/>
      <c r="G86" s="61"/>
      <c r="H86" s="61"/>
      <c r="I86" s="61"/>
    </row>
    <row r="87" spans="1:9" x14ac:dyDescent="0.25">
      <c r="A87" s="61"/>
      <c r="B87" s="61"/>
      <c r="C87" s="61"/>
      <c r="D87" s="61"/>
      <c r="E87" s="61"/>
      <c r="F87" s="61"/>
      <c r="G87" s="61"/>
      <c r="H87" s="61"/>
      <c r="I87" s="61"/>
    </row>
    <row r="88" spans="1:9" x14ac:dyDescent="0.25">
      <c r="A88" s="61"/>
      <c r="B88" s="61"/>
      <c r="C88" s="61"/>
      <c r="D88" s="61"/>
      <c r="E88" s="61"/>
      <c r="F88" s="61"/>
      <c r="G88" s="61"/>
      <c r="H88" s="61"/>
      <c r="I88" s="61"/>
    </row>
    <row r="89" spans="1:9" x14ac:dyDescent="0.25">
      <c r="A89" s="61"/>
      <c r="B89" s="61"/>
      <c r="C89" s="61"/>
      <c r="D89" s="61"/>
      <c r="E89" s="61"/>
      <c r="F89" s="61"/>
      <c r="G89" s="61"/>
      <c r="H89" s="61"/>
      <c r="I89" s="61"/>
    </row>
    <row r="90" spans="1:9" x14ac:dyDescent="0.25">
      <c r="A90" s="61"/>
      <c r="B90" s="61"/>
      <c r="C90" s="61"/>
      <c r="D90" s="61"/>
      <c r="E90" s="61"/>
      <c r="F90" s="61"/>
      <c r="G90" s="61"/>
      <c r="H90" s="61"/>
      <c r="I90" s="61"/>
    </row>
    <row r="91" spans="1:9" x14ac:dyDescent="0.25">
      <c r="A91" s="61"/>
      <c r="B91" s="61"/>
      <c r="C91" s="61"/>
      <c r="D91" s="61"/>
      <c r="E91" s="61"/>
      <c r="F91" s="61"/>
      <c r="G91" s="61"/>
      <c r="H91" s="61"/>
      <c r="I91" s="61"/>
    </row>
    <row r="92" spans="1:9" x14ac:dyDescent="0.25">
      <c r="A92" s="61"/>
      <c r="B92" s="61"/>
      <c r="C92" s="61"/>
      <c r="D92" s="61"/>
      <c r="E92" s="61"/>
      <c r="F92" s="61"/>
      <c r="G92" s="61"/>
      <c r="H92" s="61"/>
      <c r="I92" s="61"/>
    </row>
    <row r="93" spans="1:9" x14ac:dyDescent="0.25">
      <c r="A93" s="61"/>
      <c r="B93" s="61"/>
      <c r="C93" s="61"/>
      <c r="D93" s="61"/>
      <c r="E93" s="61"/>
      <c r="F93" s="61"/>
      <c r="G93" s="61"/>
      <c r="H93" s="61"/>
      <c r="I93" s="61"/>
    </row>
    <row r="94" spans="1:9" x14ac:dyDescent="0.25">
      <c r="A94" s="61"/>
      <c r="B94" s="61"/>
      <c r="C94" s="61"/>
      <c r="D94" s="61"/>
      <c r="E94" s="61"/>
      <c r="F94" s="61"/>
      <c r="G94" s="61"/>
      <c r="H94" s="61"/>
      <c r="I94" s="61"/>
    </row>
    <row r="95" spans="1:9" x14ac:dyDescent="0.25">
      <c r="A95" s="61"/>
      <c r="B95" s="61"/>
      <c r="C95" s="61"/>
      <c r="D95" s="61"/>
      <c r="E95" s="61"/>
      <c r="F95" s="61"/>
      <c r="G95" s="61"/>
      <c r="H95" s="61"/>
      <c r="I95" s="61"/>
    </row>
    <row r="96" spans="1:9" x14ac:dyDescent="0.25">
      <c r="A96" s="61"/>
      <c r="B96" s="61"/>
      <c r="C96" s="61"/>
      <c r="D96" s="61"/>
      <c r="E96" s="61"/>
      <c r="F96" s="61"/>
      <c r="G96" s="61"/>
      <c r="H96" s="61"/>
      <c r="I96" s="61"/>
    </row>
    <row r="97" spans="1:9" x14ac:dyDescent="0.25">
      <c r="A97" s="61"/>
      <c r="B97" s="61"/>
      <c r="C97" s="61"/>
      <c r="D97" s="61"/>
      <c r="E97" s="61"/>
      <c r="F97" s="61"/>
      <c r="G97" s="61"/>
      <c r="H97" s="61"/>
      <c r="I97" s="61"/>
    </row>
    <row r="98" spans="1:9" x14ac:dyDescent="0.25">
      <c r="A98" s="61"/>
      <c r="B98" s="61"/>
      <c r="C98" s="61"/>
      <c r="D98" s="61"/>
      <c r="E98" s="61"/>
      <c r="F98" s="61"/>
      <c r="G98" s="61"/>
      <c r="H98" s="61"/>
      <c r="I98" s="61"/>
    </row>
    <row r="99" spans="1:9" x14ac:dyDescent="0.25">
      <c r="A99" s="61"/>
      <c r="B99" s="61"/>
      <c r="C99" s="61"/>
      <c r="D99" s="61"/>
      <c r="E99" s="61"/>
      <c r="F99" s="61"/>
      <c r="G99" s="61"/>
      <c r="H99" s="61"/>
      <c r="I99" s="61"/>
    </row>
    <row r="100" spans="1:9" x14ac:dyDescent="0.25">
      <c r="A100" s="61"/>
      <c r="B100" s="61"/>
      <c r="C100" s="61"/>
      <c r="D100" s="61"/>
      <c r="E100" s="61"/>
      <c r="F100" s="61"/>
      <c r="G100" s="61"/>
      <c r="H100" s="61"/>
      <c r="I100" s="61"/>
    </row>
  </sheetData>
  <sheetProtection algorithmName="SHA-512" hashValue="XC4XPH5lfPWgeyuwtb0PgClxaRs8eA2pdUgZm6RXDlVxBPelZ6lSsyVE5dyb5nnFBxTUvF72saXaKipQUUCj2g==" saltValue="wR/P7zcvYiLFWwUPcFeylw==" spinCount="100000" sheet="1" objects="1" scenarios="1"/>
  <mergeCells count="40">
    <mergeCell ref="B58:H58"/>
    <mergeCell ref="B59:F59"/>
    <mergeCell ref="B60:F60"/>
    <mergeCell ref="B41:F41"/>
    <mergeCell ref="B37:F37"/>
    <mergeCell ref="B40:H40"/>
    <mergeCell ref="B16:H16"/>
    <mergeCell ref="B17:F17"/>
    <mergeCell ref="B31:F31"/>
    <mergeCell ref="B34:H34"/>
    <mergeCell ref="B36:F36"/>
    <mergeCell ref="B24:F24"/>
    <mergeCell ref="B25:F25"/>
    <mergeCell ref="B18:F18"/>
    <mergeCell ref="B30:F30"/>
    <mergeCell ref="B22:H22"/>
    <mergeCell ref="B28:H28"/>
    <mergeCell ref="B29:F29"/>
    <mergeCell ref="B1:H3"/>
    <mergeCell ref="B52:H52"/>
    <mergeCell ref="B53:F53"/>
    <mergeCell ref="B55:F55"/>
    <mergeCell ref="B35:F35"/>
    <mergeCell ref="B43:F43"/>
    <mergeCell ref="B19:F19"/>
    <mergeCell ref="B4:H4"/>
    <mergeCell ref="B5:F5"/>
    <mergeCell ref="B6:F6"/>
    <mergeCell ref="B9:H9"/>
    <mergeCell ref="B11:F11"/>
    <mergeCell ref="B23:F23"/>
    <mergeCell ref="B10:F10"/>
    <mergeCell ref="B12:F12"/>
    <mergeCell ref="B13:F13"/>
    <mergeCell ref="B68:H68"/>
    <mergeCell ref="B69:F69"/>
    <mergeCell ref="B70:F70"/>
    <mergeCell ref="B63:H63"/>
    <mergeCell ref="B64:F64"/>
    <mergeCell ref="B65:F6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8"/>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1" t="s">
        <v>76</v>
      </c>
      <c r="C3" s="111"/>
      <c r="D3" s="111"/>
      <c r="E3" s="111"/>
      <c r="F3" s="111"/>
      <c r="G3" s="111"/>
      <c r="H3" s="1"/>
    </row>
    <row r="4" spans="1:8" ht="15" customHeight="1" x14ac:dyDescent="0.25">
      <c r="A4" s="1"/>
      <c r="B4" s="111"/>
      <c r="C4" s="111"/>
      <c r="D4" s="111"/>
      <c r="E4" s="111"/>
      <c r="F4" s="111"/>
      <c r="G4" s="11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8" t="s">
        <v>10</v>
      </c>
      <c r="C8" s="119"/>
      <c r="D8" s="119"/>
      <c r="E8" s="119"/>
      <c r="F8" s="119"/>
      <c r="G8" s="120"/>
      <c r="H8" s="1"/>
    </row>
    <row r="9" spans="1:8" x14ac:dyDescent="0.25">
      <c r="A9" s="1"/>
      <c r="B9" s="121" t="s">
        <v>271</v>
      </c>
      <c r="C9" s="122"/>
      <c r="D9" s="122"/>
      <c r="E9" s="122"/>
      <c r="F9" s="123"/>
      <c r="G9" s="22">
        <v>2.9697364197326065E-3</v>
      </c>
      <c r="H9" s="1"/>
    </row>
    <row r="10" spans="1:8" x14ac:dyDescent="0.25">
      <c r="A10" s="1"/>
      <c r="B10" s="33"/>
      <c r="C10" s="28"/>
      <c r="D10" s="28"/>
      <c r="E10" s="28"/>
      <c r="F10" s="28"/>
      <c r="G10" s="19"/>
      <c r="H10" s="1"/>
    </row>
    <row r="11" spans="1:8" ht="33" customHeight="1" x14ac:dyDescent="0.25">
      <c r="A11" s="1"/>
      <c r="B11" s="132" t="s">
        <v>264</v>
      </c>
      <c r="C11" s="132"/>
      <c r="D11" s="132"/>
      <c r="E11" s="132"/>
      <c r="F11" s="132"/>
      <c r="G11" s="132"/>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sheetData>
  <sheetProtection algorithmName="SHA-512" hashValue="Tec1xghUX8juRcysgGhGaM7x1uMrRHCyGDP/oZikARWvvkUsZH+vjlDO0OQeOtlC6nb4oLFPu09HgbrJbfQL4g==" saltValue="DAhoiEu2UVXew7a6hRHiag=="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7"/>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1" t="s">
        <v>93</v>
      </c>
      <c r="C3" s="111"/>
      <c r="D3" s="111"/>
      <c r="E3" s="1"/>
      <c r="F3" s="1"/>
    </row>
    <row r="4" spans="1:6" ht="15" customHeight="1" x14ac:dyDescent="0.25">
      <c r="A4" s="1"/>
      <c r="B4" s="111"/>
      <c r="C4" s="111"/>
      <c r="D4" s="111"/>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8" t="s">
        <v>224</v>
      </c>
      <c r="C8" s="119"/>
      <c r="D8" s="120"/>
      <c r="E8" s="1"/>
      <c r="F8" s="1"/>
    </row>
    <row r="9" spans="1:6" ht="15" customHeight="1" x14ac:dyDescent="0.25">
      <c r="A9" s="1"/>
      <c r="B9" s="27" t="s">
        <v>29</v>
      </c>
      <c r="C9" s="50" t="s">
        <v>225</v>
      </c>
      <c r="D9" s="11"/>
      <c r="E9" s="1"/>
      <c r="F9" s="1"/>
    </row>
    <row r="10" spans="1:6" ht="15" customHeight="1" x14ac:dyDescent="0.25">
      <c r="A10" s="1"/>
      <c r="B10" s="82" t="s">
        <v>286</v>
      </c>
      <c r="C10" s="9">
        <v>1948924</v>
      </c>
      <c r="D10" s="14" t="s">
        <v>3</v>
      </c>
      <c r="E10" s="1"/>
      <c r="F10" s="1"/>
    </row>
    <row r="11" spans="1:6" ht="15" customHeight="1" x14ac:dyDescent="0.25">
      <c r="A11" s="1"/>
      <c r="B11" s="82" t="s">
        <v>287</v>
      </c>
      <c r="C11" s="9">
        <v>153332</v>
      </c>
      <c r="D11" s="14" t="s">
        <v>3</v>
      </c>
      <c r="E11" s="1"/>
      <c r="F11" s="1"/>
    </row>
    <row r="12" spans="1:6" x14ac:dyDescent="0.25">
      <c r="A12" s="1"/>
      <c r="B12" s="82" t="s">
        <v>288</v>
      </c>
      <c r="C12" s="9">
        <v>43711</v>
      </c>
      <c r="D12" s="14" t="s">
        <v>3</v>
      </c>
      <c r="E12" s="1"/>
      <c r="F12" s="1"/>
    </row>
    <row r="13" spans="1:6" x14ac:dyDescent="0.25">
      <c r="A13" s="1"/>
      <c r="B13" s="82" t="s">
        <v>289</v>
      </c>
      <c r="C13" s="9">
        <v>628185</v>
      </c>
      <c r="D13" s="14" t="s">
        <v>3</v>
      </c>
      <c r="E13" s="1"/>
      <c r="F13" s="1"/>
    </row>
    <row r="14" spans="1:6" x14ac:dyDescent="0.25">
      <c r="A14" s="1"/>
      <c r="B14" s="82" t="s">
        <v>290</v>
      </c>
      <c r="C14" s="9">
        <v>74109</v>
      </c>
      <c r="D14" s="14" t="s">
        <v>3</v>
      </c>
      <c r="E14" s="1"/>
      <c r="F14" s="1"/>
    </row>
    <row r="15" spans="1:6" x14ac:dyDescent="0.25">
      <c r="A15" s="1"/>
      <c r="B15" s="82"/>
      <c r="C15" s="9"/>
      <c r="D15" s="14" t="s">
        <v>3</v>
      </c>
      <c r="E15" s="1"/>
      <c r="F15" s="1"/>
    </row>
    <row r="16" spans="1:6" x14ac:dyDescent="0.25">
      <c r="A16" s="1"/>
      <c r="B16" s="82"/>
      <c r="C16" s="9"/>
      <c r="D16" s="14" t="s">
        <v>3</v>
      </c>
      <c r="E16" s="1"/>
      <c r="F16" s="1"/>
    </row>
    <row r="17" spans="1:6" x14ac:dyDescent="0.25">
      <c r="A17" s="1"/>
      <c r="B17" s="82"/>
      <c r="C17" s="9"/>
      <c r="D17" s="14" t="s">
        <v>3</v>
      </c>
      <c r="E17" s="1"/>
      <c r="F17" s="1"/>
    </row>
    <row r="18" spans="1:6" x14ac:dyDescent="0.25">
      <c r="A18" s="1"/>
      <c r="B18" s="82"/>
      <c r="C18" s="9"/>
      <c r="D18" s="14" t="s">
        <v>3</v>
      </c>
      <c r="E18" s="1"/>
      <c r="F18" s="1"/>
    </row>
    <row r="19" spans="1:6" x14ac:dyDescent="0.25">
      <c r="A19" s="1"/>
      <c r="B19" s="82"/>
      <c r="C19" s="9"/>
      <c r="D19" s="14" t="s">
        <v>3</v>
      </c>
      <c r="E19" s="1"/>
      <c r="F19" s="1"/>
    </row>
    <row r="20" spans="1:6" x14ac:dyDescent="0.25">
      <c r="A20" s="1"/>
      <c r="B20" s="33" t="s">
        <v>226</v>
      </c>
      <c r="C20" s="12">
        <f>SUM(C10:C19)</f>
        <v>2848261</v>
      </c>
      <c r="D20" s="13" t="s">
        <v>3</v>
      </c>
      <c r="E20" s="1"/>
      <c r="F20" s="1"/>
    </row>
    <row r="21" spans="1:6" x14ac:dyDescent="0.25">
      <c r="A21" s="1"/>
      <c r="B21" s="33" t="s">
        <v>227</v>
      </c>
      <c r="C21" s="12">
        <f>C20*(1+'Fane 15. Nøgletal'!C16)^2</f>
        <v>3327135.2482950399</v>
      </c>
      <c r="D21" s="13" t="s">
        <v>3</v>
      </c>
      <c r="E21" s="1"/>
      <c r="F21" s="1"/>
    </row>
    <row r="22" spans="1:6" x14ac:dyDescent="0.25">
      <c r="A22" s="1"/>
      <c r="B22" s="16"/>
      <c r="C22" s="15"/>
      <c r="D22" s="15"/>
      <c r="E22" s="1"/>
      <c r="F22" s="1"/>
    </row>
    <row r="23" spans="1:6" x14ac:dyDescent="0.25">
      <c r="A23" s="1"/>
      <c r="B23" s="16"/>
      <c r="C23" s="15"/>
      <c r="D23" s="15"/>
      <c r="E23" s="1"/>
      <c r="F23" s="1"/>
    </row>
    <row r="24" spans="1:6" x14ac:dyDescent="0.25">
      <c r="A24" s="1"/>
      <c r="B24" s="118" t="s">
        <v>99</v>
      </c>
      <c r="C24" s="119"/>
      <c r="D24" s="120"/>
      <c r="E24" s="1"/>
      <c r="F24" s="1"/>
    </row>
    <row r="25" spans="1:6" x14ac:dyDescent="0.25">
      <c r="A25" s="1"/>
      <c r="B25" s="82" t="s">
        <v>109</v>
      </c>
      <c r="C25" s="9">
        <v>0</v>
      </c>
      <c r="D25" s="14" t="s">
        <v>3</v>
      </c>
      <c r="E25" s="1"/>
      <c r="F25" s="1"/>
    </row>
    <row r="26" spans="1:6" x14ac:dyDescent="0.25">
      <c r="A26" s="1"/>
      <c r="B26" s="82" t="s">
        <v>123</v>
      </c>
      <c r="C26" s="9">
        <v>0</v>
      </c>
      <c r="D26" s="14" t="s">
        <v>3</v>
      </c>
      <c r="E26" s="1"/>
      <c r="F26" s="1"/>
    </row>
    <row r="27" spans="1:6" x14ac:dyDescent="0.25">
      <c r="A27" s="1"/>
      <c r="B27" s="82" t="s">
        <v>142</v>
      </c>
      <c r="C27" s="9">
        <v>0</v>
      </c>
      <c r="D27" s="14" t="s">
        <v>3</v>
      </c>
      <c r="E27" s="1"/>
      <c r="F27" s="1"/>
    </row>
    <row r="28" spans="1:6" x14ac:dyDescent="0.25">
      <c r="A28" s="1"/>
      <c r="B28" s="34" t="s">
        <v>261</v>
      </c>
      <c r="C28" s="9">
        <v>0</v>
      </c>
      <c r="D28" s="38" t="s">
        <v>3</v>
      </c>
      <c r="E28" s="1"/>
      <c r="F28" s="1"/>
    </row>
    <row r="29" spans="1:6" x14ac:dyDescent="0.25">
      <c r="A29" s="1"/>
      <c r="B29" s="118"/>
      <c r="C29" s="119"/>
      <c r="D29" s="120"/>
      <c r="E29" s="1"/>
      <c r="F29" s="1"/>
    </row>
    <row r="30" spans="1:6" x14ac:dyDescent="0.25">
      <c r="A30" s="1"/>
      <c r="B30" s="1"/>
      <c r="C30" s="1"/>
      <c r="D30" s="1"/>
      <c r="E30" s="1"/>
      <c r="F30" s="1"/>
    </row>
    <row r="31" spans="1:6" x14ac:dyDescent="0.25">
      <c r="A31" s="1"/>
      <c r="B31" s="1"/>
      <c r="C31" s="1"/>
      <c r="D31" s="1"/>
      <c r="E31" s="1"/>
      <c r="F31" s="1"/>
    </row>
    <row r="32" spans="1:6" x14ac:dyDescent="0.25">
      <c r="A32" s="1"/>
      <c r="B32" s="118" t="s">
        <v>81</v>
      </c>
      <c r="C32" s="119"/>
      <c r="D32" s="120"/>
      <c r="E32" s="1"/>
      <c r="F32" s="1"/>
    </row>
    <row r="33" spans="1:6" x14ac:dyDescent="0.25">
      <c r="A33" s="1"/>
      <c r="B33" s="82" t="s">
        <v>109</v>
      </c>
      <c r="C33" s="9">
        <v>995147</v>
      </c>
      <c r="D33" s="14" t="s">
        <v>3</v>
      </c>
      <c r="E33" s="1"/>
      <c r="F33" s="1"/>
    </row>
    <row r="34" spans="1:6" x14ac:dyDescent="0.25">
      <c r="A34" s="1"/>
      <c r="B34" s="82" t="s">
        <v>123</v>
      </c>
      <c r="C34" s="9">
        <v>0</v>
      </c>
      <c r="D34" s="14" t="s">
        <v>3</v>
      </c>
      <c r="E34" s="1"/>
      <c r="F34" s="1"/>
    </row>
    <row r="35" spans="1:6" x14ac:dyDescent="0.25">
      <c r="A35" s="1"/>
      <c r="B35" s="82" t="s">
        <v>142</v>
      </c>
      <c r="C35" s="9">
        <v>0</v>
      </c>
      <c r="D35" s="14" t="s">
        <v>3</v>
      </c>
      <c r="E35" s="1"/>
      <c r="F35" s="1"/>
    </row>
    <row r="36" spans="1:6" x14ac:dyDescent="0.25">
      <c r="A36" s="1"/>
      <c r="B36" s="34" t="s">
        <v>261</v>
      </c>
      <c r="C36" s="9">
        <v>0</v>
      </c>
      <c r="D36" s="38" t="s">
        <v>3</v>
      </c>
      <c r="E36" s="1"/>
      <c r="F36" s="1"/>
    </row>
    <row r="37" spans="1:6" x14ac:dyDescent="0.25">
      <c r="A37" s="1"/>
      <c r="B37" s="118"/>
      <c r="C37" s="119"/>
      <c r="D37" s="120"/>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48"/>
      <c r="B51" s="48"/>
      <c r="C51" s="48"/>
      <c r="D51" s="48"/>
      <c r="E51" s="48"/>
      <c r="F51" s="48"/>
    </row>
    <row r="52" spans="1:6" x14ac:dyDescent="0.25">
      <c r="A52" s="48"/>
      <c r="B52" s="48"/>
      <c r="C52" s="48"/>
      <c r="D52" s="48"/>
      <c r="E52" s="48"/>
      <c r="F52" s="48"/>
    </row>
    <row r="53" spans="1:6" x14ac:dyDescent="0.25">
      <c r="A53" s="48"/>
      <c r="B53" s="48"/>
      <c r="C53" s="48"/>
      <c r="D53" s="48"/>
      <c r="E53" s="48"/>
      <c r="F53" s="48"/>
    </row>
    <row r="54" spans="1:6" x14ac:dyDescent="0.25">
      <c r="A54" s="48"/>
      <c r="B54" s="48"/>
      <c r="C54" s="48"/>
      <c r="D54" s="48"/>
      <c r="E54" s="48"/>
      <c r="F54" s="48"/>
    </row>
    <row r="55" spans="1:6" x14ac:dyDescent="0.25">
      <c r="A55" s="48"/>
      <c r="B55" s="48"/>
      <c r="C55" s="48"/>
      <c r="D55" s="48"/>
      <c r="E55" s="48"/>
      <c r="F55" s="48"/>
    </row>
    <row r="56" spans="1:6" x14ac:dyDescent="0.25">
      <c r="A56" s="48"/>
      <c r="B56" s="48"/>
      <c r="C56" s="48"/>
      <c r="D56" s="48"/>
      <c r="E56" s="48"/>
      <c r="F56" s="48"/>
    </row>
    <row r="57" spans="1:6" x14ac:dyDescent="0.25">
      <c r="A57" s="48"/>
      <c r="B57" s="48"/>
      <c r="C57" s="48"/>
      <c r="D57" s="48"/>
      <c r="E57" s="48"/>
      <c r="F57" s="48"/>
    </row>
  </sheetData>
  <sheetProtection algorithmName="SHA-512" hashValue="4UFxvdQTcHalXiwnyID4aqHC+huT4kVHk67/muEroDb60HOglW6MNe92sn2ak49kCHX4Q2c1m5/m5OsTmZZGMQ==" saltValue="9HMYcU+FbAyxU4ou8Y78EA=="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7DCC-74DF-415F-B0FA-437B30899C77}">
  <sheetPr codeName="Ark12"/>
  <dimension ref="A1:G51"/>
  <sheetViews>
    <sheetView showGridLines="0" view="pageLayout" zoomScale="90" zoomScaleNormal="100" zoomScalePageLayoutView="90" workbookViewId="0"/>
  </sheetViews>
  <sheetFormatPr defaultColWidth="9.140625" defaultRowHeight="15" x14ac:dyDescent="0.25"/>
  <cols>
    <col min="1" max="1" width="3.28515625" style="2" customWidth="1"/>
    <col min="2" max="3" width="9.140625" style="2"/>
    <col min="4" max="4" width="45.85546875" style="2" customWidth="1"/>
    <col min="5" max="5" width="12.28515625" style="2" bestFit="1" customWidth="1"/>
    <col min="6" max="6" width="3.28515625" style="2" customWidth="1"/>
    <col min="7" max="7" width="3.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4" t="s">
        <v>206</v>
      </c>
      <c r="C3" s="114"/>
      <c r="D3" s="114"/>
      <c r="E3" s="114"/>
      <c r="F3" s="114"/>
      <c r="G3" s="1"/>
    </row>
    <row r="4" spans="1:7" ht="15" customHeight="1" x14ac:dyDescent="0.25">
      <c r="A4" s="1"/>
      <c r="B4" s="114"/>
      <c r="C4" s="114"/>
      <c r="D4" s="114"/>
      <c r="E4" s="114"/>
      <c r="F4" s="114"/>
      <c r="G4" s="1"/>
    </row>
    <row r="5" spans="1:7" ht="15" customHeight="1" x14ac:dyDescent="0.25">
      <c r="A5" s="1"/>
      <c r="B5" s="75"/>
      <c r="C5" s="75"/>
      <c r="D5" s="75"/>
      <c r="E5" s="75"/>
      <c r="F5" s="75"/>
      <c r="G5" s="1"/>
    </row>
    <row r="6" spans="1:7" ht="15" customHeight="1" x14ac:dyDescent="0.25">
      <c r="A6" s="1"/>
      <c r="B6" s="75"/>
      <c r="C6" s="75"/>
      <c r="D6" s="75"/>
      <c r="E6" s="75"/>
      <c r="F6" s="75"/>
      <c r="G6" s="1"/>
    </row>
    <row r="7" spans="1:7" ht="15" customHeight="1" x14ac:dyDescent="0.25">
      <c r="A7" s="1"/>
      <c r="B7" s="1"/>
      <c r="C7" s="1"/>
      <c r="D7" s="1"/>
      <c r="E7" s="1"/>
      <c r="F7" s="1"/>
      <c r="G7" s="1"/>
    </row>
    <row r="8" spans="1:7" ht="15" customHeight="1" x14ac:dyDescent="0.25">
      <c r="A8" s="1"/>
      <c r="B8" s="118" t="s">
        <v>137</v>
      </c>
      <c r="C8" s="119"/>
      <c r="D8" s="119"/>
      <c r="E8" s="119"/>
      <c r="F8" s="120"/>
      <c r="G8" s="1"/>
    </row>
    <row r="9" spans="1:7" ht="15" customHeight="1" x14ac:dyDescent="0.25">
      <c r="A9" s="1"/>
      <c r="B9" s="121" t="s">
        <v>274</v>
      </c>
      <c r="C9" s="122"/>
      <c r="D9" s="123"/>
      <c r="E9" s="9">
        <v>14631413</v>
      </c>
      <c r="F9" s="14" t="s">
        <v>3</v>
      </c>
      <c r="G9" s="1"/>
    </row>
    <row r="10" spans="1:7" ht="15" customHeight="1" x14ac:dyDescent="0.25">
      <c r="A10" s="1"/>
      <c r="B10" s="121" t="s">
        <v>143</v>
      </c>
      <c r="C10" s="122"/>
      <c r="D10" s="123"/>
      <c r="E10" s="9">
        <v>7211034</v>
      </c>
      <c r="F10" s="14" t="s">
        <v>3</v>
      </c>
      <c r="G10" s="1"/>
    </row>
    <row r="11" spans="1:7" ht="15" customHeight="1" x14ac:dyDescent="0.25">
      <c r="A11" s="1"/>
      <c r="B11" s="121" t="s">
        <v>275</v>
      </c>
      <c r="C11" s="122"/>
      <c r="D11" s="123"/>
      <c r="E11" s="9">
        <v>-3475644</v>
      </c>
      <c r="F11" s="14" t="s">
        <v>3</v>
      </c>
      <c r="G11" s="1"/>
    </row>
    <row r="12" spans="1:7" x14ac:dyDescent="0.25">
      <c r="A12" s="1"/>
      <c r="B12" s="33"/>
      <c r="C12" s="28"/>
      <c r="D12" s="28"/>
      <c r="E12" s="28"/>
      <c r="F12" s="19"/>
      <c r="G12" s="1"/>
    </row>
    <row r="13" spans="1:7" ht="42" customHeight="1" x14ac:dyDescent="0.25">
      <c r="A13" s="1"/>
      <c r="B13" s="115" t="s">
        <v>276</v>
      </c>
      <c r="C13" s="116"/>
      <c r="D13" s="116"/>
      <c r="E13" s="116"/>
      <c r="F13" s="117"/>
      <c r="G13" s="1"/>
    </row>
    <row r="14" spans="1:7" ht="15" customHeight="1" x14ac:dyDescent="0.25">
      <c r="A14" s="1"/>
      <c r="B14" s="1"/>
      <c r="C14" s="1"/>
      <c r="D14" s="1"/>
      <c r="E14" s="1"/>
      <c r="F14" s="1"/>
      <c r="G14" s="1"/>
    </row>
    <row r="15" spans="1:7" x14ac:dyDescent="0.25">
      <c r="A15" s="1"/>
      <c r="B15" s="76" t="s">
        <v>277</v>
      </c>
      <c r="C15" s="77"/>
      <c r="D15" s="77"/>
      <c r="E15" s="77"/>
      <c r="F15" s="78"/>
      <c r="G15" s="1"/>
    </row>
    <row r="16" spans="1:7" x14ac:dyDescent="0.25">
      <c r="A16" s="1"/>
      <c r="B16" s="79" t="s">
        <v>278</v>
      </c>
      <c r="C16" s="80"/>
      <c r="D16" s="81"/>
      <c r="E16" s="9">
        <f>IF(E11&lt;0,E11,0)</f>
        <v>-3475644</v>
      </c>
      <c r="F16" s="14" t="s">
        <v>3</v>
      </c>
      <c r="G16" s="1"/>
    </row>
    <row r="17" spans="1:7" x14ac:dyDescent="0.25">
      <c r="A17" s="1"/>
      <c r="B17" s="79" t="s">
        <v>279</v>
      </c>
      <c r="C17" s="80"/>
      <c r="D17" s="81"/>
      <c r="E17" s="9">
        <f>IF(SUM(E10)&gt;0,SUM(E10),0)</f>
        <v>7211034</v>
      </c>
      <c r="F17" s="14" t="s">
        <v>3</v>
      </c>
      <c r="G17" s="1"/>
    </row>
    <row r="18" spans="1:7" x14ac:dyDescent="0.25">
      <c r="A18" s="1"/>
      <c r="B18" s="83" t="s">
        <v>280</v>
      </c>
      <c r="C18" s="84"/>
      <c r="D18" s="85"/>
      <c r="E18" s="62">
        <f>IF(SUM(E16:E17)&gt;0,0,SUM(E16:E17))</f>
        <v>0</v>
      </c>
      <c r="F18" s="17" t="s">
        <v>3</v>
      </c>
      <c r="G18" s="1"/>
    </row>
    <row r="19" spans="1:7" x14ac:dyDescent="0.25">
      <c r="A19" s="1"/>
      <c r="B19" s="33"/>
      <c r="C19" s="28"/>
      <c r="D19" s="28"/>
      <c r="E19" s="28"/>
      <c r="F19" s="19"/>
      <c r="G19" s="1"/>
    </row>
    <row r="20" spans="1:7" x14ac:dyDescent="0.25">
      <c r="A20" s="1"/>
      <c r="B20" s="1"/>
      <c r="C20" s="1"/>
      <c r="D20" s="1"/>
      <c r="E20" s="1"/>
      <c r="F20" s="1"/>
      <c r="G20" s="1"/>
    </row>
    <row r="21" spans="1:7" x14ac:dyDescent="0.25">
      <c r="A21" s="1"/>
      <c r="B21" s="76" t="s">
        <v>281</v>
      </c>
      <c r="C21" s="77"/>
      <c r="D21" s="77"/>
      <c r="E21" s="77"/>
      <c r="F21" s="78"/>
      <c r="G21" s="1"/>
    </row>
    <row r="22" spans="1:7" x14ac:dyDescent="0.25">
      <c r="A22" s="1"/>
      <c r="B22" s="79" t="s">
        <v>282</v>
      </c>
      <c r="C22" s="80"/>
      <c r="D22" s="81"/>
      <c r="E22" s="9">
        <v>127990472</v>
      </c>
      <c r="F22" s="14" t="s">
        <v>3</v>
      </c>
      <c r="G22" s="1"/>
    </row>
    <row r="23" spans="1:7" x14ac:dyDescent="0.25">
      <c r="A23" s="1"/>
      <c r="B23" s="79" t="s">
        <v>283</v>
      </c>
      <c r="C23" s="80"/>
      <c r="D23" s="81"/>
      <c r="E23" s="9">
        <v>132755104</v>
      </c>
      <c r="F23" s="14" t="s">
        <v>3</v>
      </c>
      <c r="G23" s="1"/>
    </row>
    <row r="24" spans="1:7" x14ac:dyDescent="0.25">
      <c r="A24" s="1"/>
      <c r="B24" s="79" t="s">
        <v>30</v>
      </c>
      <c r="C24" s="80"/>
      <c r="D24" s="81"/>
      <c r="E24" s="9">
        <v>0</v>
      </c>
      <c r="F24" s="14" t="s">
        <v>3</v>
      </c>
      <c r="G24" s="1"/>
    </row>
    <row r="25" spans="1:7" x14ac:dyDescent="0.25">
      <c r="A25" s="1"/>
      <c r="B25" s="83" t="s">
        <v>284</v>
      </c>
      <c r="C25" s="84"/>
      <c r="D25" s="85"/>
      <c r="E25" s="62">
        <f>E22-E23-E24</f>
        <v>-4764632</v>
      </c>
      <c r="F25" s="17" t="s">
        <v>3</v>
      </c>
      <c r="G25" s="1"/>
    </row>
    <row r="26" spans="1:7" x14ac:dyDescent="0.25">
      <c r="A26" s="1"/>
      <c r="B26" s="33"/>
      <c r="C26" s="28"/>
      <c r="D26" s="28"/>
      <c r="E26" s="28"/>
      <c r="F26" s="19"/>
      <c r="G26" s="1"/>
    </row>
    <row r="27" spans="1:7" x14ac:dyDescent="0.25">
      <c r="A27" s="1"/>
      <c r="B27" s="1"/>
      <c r="C27" s="1"/>
      <c r="D27" s="1"/>
      <c r="E27" s="1"/>
      <c r="F27" s="1"/>
      <c r="G27" s="1"/>
    </row>
    <row r="28" spans="1:7" x14ac:dyDescent="0.25">
      <c r="A28" s="1"/>
      <c r="B28" s="118" t="s">
        <v>285</v>
      </c>
      <c r="C28" s="119"/>
      <c r="D28" s="119"/>
      <c r="E28" s="119"/>
      <c r="F28" s="120"/>
      <c r="G28" s="1"/>
    </row>
    <row r="29" spans="1:7" x14ac:dyDescent="0.25">
      <c r="A29" s="1"/>
      <c r="B29" s="133" t="s">
        <v>116</v>
      </c>
      <c r="C29" s="134"/>
      <c r="D29" s="135"/>
      <c r="E29" s="9">
        <f>IF(E18&lt;0,IF(E25&lt;0,SUM(E18,E25),IF(E10&gt;0,SUM(E10:E11),E18)),IF(AND(E25&lt;0,SUM(E25,E11)&lt;0),IF(E11&lt;0,E25,IF(SUM(E10:E11)&gt;0,SUM(E25,E11),IF(AND(E25&lt;0,E18=0,E11&gt;0),IF(SUM(E9:E11)&gt;0,E25+E11,E25)))),0))</f>
        <v>-4764632</v>
      </c>
      <c r="F29" s="14" t="s">
        <v>3</v>
      </c>
      <c r="G29" s="1"/>
    </row>
    <row r="30" spans="1:7" x14ac:dyDescent="0.25">
      <c r="A30" s="1"/>
      <c r="B30" s="133" t="s">
        <v>84</v>
      </c>
      <c r="C30" s="134"/>
      <c r="D30" s="135"/>
      <c r="E30" s="9">
        <v>2</v>
      </c>
      <c r="F30" s="14" t="s">
        <v>20</v>
      </c>
      <c r="G30" s="1"/>
    </row>
    <row r="31" spans="1:7" x14ac:dyDescent="0.25">
      <c r="A31" s="1"/>
      <c r="B31" s="136" t="s">
        <v>117</v>
      </c>
      <c r="C31" s="137"/>
      <c r="D31" s="138"/>
      <c r="E31" s="10">
        <f>E29/E30</f>
        <v>-2382316</v>
      </c>
      <c r="F31" s="17" t="s">
        <v>3</v>
      </c>
      <c r="G31" s="1"/>
    </row>
    <row r="32" spans="1:7" x14ac:dyDescent="0.25">
      <c r="A32" s="1"/>
      <c r="B32" s="139"/>
      <c r="C32" s="140"/>
      <c r="D32" s="140"/>
      <c r="E32" s="140"/>
      <c r="F32" s="14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48"/>
      <c r="B46" s="48"/>
      <c r="C46" s="48"/>
      <c r="D46" s="48"/>
      <c r="E46" s="48"/>
      <c r="F46" s="48"/>
      <c r="G46" s="48"/>
    </row>
    <row r="47" spans="1:7" x14ac:dyDescent="0.25">
      <c r="A47" s="48"/>
      <c r="B47" s="48"/>
      <c r="C47" s="48"/>
      <c r="D47" s="48"/>
      <c r="E47" s="48"/>
      <c r="F47" s="48"/>
      <c r="G47" s="48"/>
    </row>
    <row r="48" spans="1:7" x14ac:dyDescent="0.25">
      <c r="A48" s="48"/>
      <c r="B48" s="48"/>
      <c r="C48" s="48"/>
      <c r="D48" s="48"/>
      <c r="E48" s="48"/>
      <c r="F48" s="48"/>
      <c r="G48" s="48"/>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G51" s="48"/>
    </row>
  </sheetData>
  <sheetProtection algorithmName="SHA-512" hashValue="cmfj2susbDCk1wG1i3UMvqY+593QAiicyXRFJ+joI8/9lHXXIFuS/gfBH46jfEcs9EKIntrJ6UKePKL/z4ZL7w==" saltValue="ewyHQP192/TTdQdcj8leyg==" spinCount="100000" sheet="1" objects="1" scenarios="1"/>
  <mergeCells count="11">
    <mergeCell ref="B28:F28"/>
    <mergeCell ref="B29:D29"/>
    <mergeCell ref="B30:D30"/>
    <mergeCell ref="B31:D31"/>
    <mergeCell ref="B32:F32"/>
    <mergeCell ref="B13:F13"/>
    <mergeCell ref="B3:F4"/>
    <mergeCell ref="B8:F8"/>
    <mergeCell ref="B9:D9"/>
    <mergeCell ref="B10:D10"/>
    <mergeCell ref="B11:D11"/>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50"/>
  <sheetViews>
    <sheetView view="pageLayout" zoomScaleNormal="100" workbookViewId="0"/>
  </sheetViews>
  <sheetFormatPr defaultColWidth="9.140625" defaultRowHeight="15" x14ac:dyDescent="0.25"/>
  <cols>
    <col min="1" max="1" width="4.7109375" style="61" customWidth="1"/>
    <col min="2" max="2" width="22.5703125" style="61" customWidth="1"/>
    <col min="3" max="3" width="8.28515625" style="61" customWidth="1"/>
    <col min="4" max="6" width="10.7109375" style="61" customWidth="1"/>
    <col min="7" max="7" width="11.140625" style="61" customWidth="1"/>
    <col min="8" max="8" width="3.28515625" style="61" customWidth="1"/>
    <col min="9" max="9" width="4.85546875" style="61" customWidth="1"/>
    <col min="10" max="16384" width="9.140625" style="61"/>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1" t="s">
        <v>170</v>
      </c>
      <c r="C3" s="111"/>
      <c r="D3" s="111"/>
      <c r="E3" s="111"/>
      <c r="F3" s="111"/>
      <c r="G3" s="111"/>
      <c r="H3" s="111"/>
      <c r="I3" s="1"/>
    </row>
    <row r="4" spans="1:9" ht="15" customHeight="1" x14ac:dyDescent="0.25">
      <c r="A4" s="1"/>
      <c r="B4" s="111"/>
      <c r="C4" s="111"/>
      <c r="D4" s="111"/>
      <c r="E4" s="111"/>
      <c r="F4" s="111"/>
      <c r="G4" s="111"/>
      <c r="H4" s="11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8" t="s">
        <v>189</v>
      </c>
      <c r="C8" s="119"/>
      <c r="D8" s="119"/>
      <c r="E8" s="119"/>
      <c r="F8" s="119"/>
      <c r="G8" s="119"/>
      <c r="H8" s="120"/>
      <c r="I8" s="1"/>
    </row>
    <row r="9" spans="1:9" ht="15" customHeight="1" x14ac:dyDescent="0.25">
      <c r="A9" s="1"/>
      <c r="B9" s="145" t="s">
        <v>171</v>
      </c>
      <c r="C9" s="146"/>
      <c r="D9" s="146"/>
      <c r="E9" s="146"/>
      <c r="F9" s="146"/>
      <c r="G9" s="146"/>
      <c r="H9" s="147"/>
      <c r="I9" s="1"/>
    </row>
    <row r="10" spans="1:9" x14ac:dyDescent="0.25">
      <c r="A10" s="1"/>
      <c r="B10" s="142" t="s">
        <v>172</v>
      </c>
      <c r="C10" s="143"/>
      <c r="D10" s="143"/>
      <c r="E10" s="143"/>
      <c r="F10" s="144"/>
      <c r="G10" s="9">
        <v>0</v>
      </c>
      <c r="H10" s="9" t="s">
        <v>3</v>
      </c>
      <c r="I10" s="1"/>
    </row>
    <row r="11" spans="1:9" x14ac:dyDescent="0.25">
      <c r="A11" s="1"/>
      <c r="B11" s="142" t="s">
        <v>173</v>
      </c>
      <c r="C11" s="143"/>
      <c r="D11" s="143"/>
      <c r="E11" s="143"/>
      <c r="F11" s="144"/>
      <c r="G11" s="9">
        <v>0</v>
      </c>
      <c r="H11" s="9" t="s">
        <v>3</v>
      </c>
      <c r="I11" s="1"/>
    </row>
    <row r="12" spans="1:9" x14ac:dyDescent="0.25">
      <c r="A12" s="1"/>
      <c r="B12" s="142" t="s">
        <v>174</v>
      </c>
      <c r="C12" s="143"/>
      <c r="D12" s="143"/>
      <c r="E12" s="143"/>
      <c r="F12" s="144"/>
      <c r="G12" s="9">
        <v>0</v>
      </c>
      <c r="H12" s="9" t="s">
        <v>3</v>
      </c>
      <c r="I12" s="1"/>
    </row>
    <row r="13" spans="1:9" x14ac:dyDescent="0.25">
      <c r="A13" s="1"/>
      <c r="B13" s="142" t="s">
        <v>175</v>
      </c>
      <c r="C13" s="143"/>
      <c r="D13" s="143"/>
      <c r="E13" s="143"/>
      <c r="F13" s="144"/>
      <c r="G13" s="9">
        <v>0</v>
      </c>
      <c r="H13" s="9" t="s">
        <v>3</v>
      </c>
      <c r="I13" s="1"/>
    </row>
    <row r="14" spans="1:9" x14ac:dyDescent="0.25">
      <c r="A14" s="1"/>
      <c r="B14" s="142" t="s">
        <v>176</v>
      </c>
      <c r="C14" s="143"/>
      <c r="D14" s="143"/>
      <c r="E14" s="143"/>
      <c r="F14" s="144"/>
      <c r="G14" s="9">
        <v>0</v>
      </c>
      <c r="H14" s="9" t="s">
        <v>3</v>
      </c>
      <c r="I14" s="1"/>
    </row>
    <row r="15" spans="1:9" x14ac:dyDescent="0.25">
      <c r="A15" s="1"/>
      <c r="B15" s="142" t="s">
        <v>177</v>
      </c>
      <c r="C15" s="143"/>
      <c r="D15" s="143"/>
      <c r="E15" s="143"/>
      <c r="F15" s="144"/>
      <c r="G15" s="9">
        <v>0</v>
      </c>
      <c r="H15" s="9" t="s">
        <v>3</v>
      </c>
      <c r="I15" s="1"/>
    </row>
    <row r="16" spans="1:9" x14ac:dyDescent="0.25">
      <c r="A16" s="1"/>
      <c r="B16" s="142" t="s">
        <v>178</v>
      </c>
      <c r="C16" s="143"/>
      <c r="D16" s="143"/>
      <c r="E16" s="143"/>
      <c r="F16" s="144"/>
      <c r="G16" s="9">
        <v>0</v>
      </c>
      <c r="H16" s="9" t="s">
        <v>3</v>
      </c>
      <c r="I16" s="1"/>
    </row>
    <row r="17" spans="1:9" x14ac:dyDescent="0.25">
      <c r="A17" s="1"/>
      <c r="B17" s="142" t="s">
        <v>179</v>
      </c>
      <c r="C17" s="143"/>
      <c r="D17" s="143"/>
      <c r="E17" s="143"/>
      <c r="F17" s="144"/>
      <c r="G17" s="9">
        <v>0</v>
      </c>
      <c r="H17" s="9" t="s">
        <v>3</v>
      </c>
      <c r="I17" s="1"/>
    </row>
    <row r="18" spans="1:9" x14ac:dyDescent="0.25">
      <c r="A18" s="1"/>
      <c r="B18" s="118" t="s">
        <v>180</v>
      </c>
      <c r="C18" s="119"/>
      <c r="D18" s="119"/>
      <c r="E18" s="119"/>
      <c r="F18" s="120"/>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LbFJ1nmNk5vKkM/LX9TsTL5KtVmY0yOyDfQWDsvKO9MOmrJMCQbfhhEaVJ9HvTNUm8JC7fQteSLZaHYK9Q3Hlw==" saltValue="hfjSlxSwWuaO4j3b288vWA==" spinCount="100000" sheet="1" objects="1" scenarios="1"/>
  <mergeCells count="12">
    <mergeCell ref="B12:F12"/>
    <mergeCell ref="B9:H9"/>
    <mergeCell ref="B3:H4"/>
    <mergeCell ref="B8:H8"/>
    <mergeCell ref="B10:F10"/>
    <mergeCell ref="B11:F11"/>
    <mergeCell ref="B18:F18"/>
    <mergeCell ref="B13:F13"/>
    <mergeCell ref="B14:F14"/>
    <mergeCell ref="B15:F15"/>
    <mergeCell ref="B16:F16"/>
    <mergeCell ref="B17:F17"/>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14" t="s">
        <v>207</v>
      </c>
      <c r="C3" s="114"/>
      <c r="D3" s="114"/>
      <c r="E3" s="114"/>
      <c r="F3" s="114"/>
      <c r="G3" s="1"/>
    </row>
    <row r="4" spans="1:7" ht="1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8" t="s">
        <v>228</v>
      </c>
      <c r="C9" s="119"/>
      <c r="D9" s="119"/>
      <c r="E9" s="119"/>
      <c r="F9" s="120"/>
      <c r="G9" s="1"/>
    </row>
    <row r="10" spans="1:7" x14ac:dyDescent="0.25">
      <c r="A10" s="1"/>
      <c r="B10" s="115" t="s">
        <v>82</v>
      </c>
      <c r="C10" s="116"/>
      <c r="D10" s="117"/>
      <c r="E10" s="7">
        <v>3609495.1290855831</v>
      </c>
      <c r="F10" s="8" t="s">
        <v>3</v>
      </c>
      <c r="G10" s="1"/>
    </row>
    <row r="11" spans="1:7" x14ac:dyDescent="0.25">
      <c r="A11" s="1"/>
      <c r="B11" s="121" t="s">
        <v>229</v>
      </c>
      <c r="C11" s="122"/>
      <c r="D11" s="123"/>
      <c r="E11" s="7">
        <v>0</v>
      </c>
      <c r="F11" s="8" t="s">
        <v>3</v>
      </c>
      <c r="G11" s="1"/>
    </row>
    <row r="12" spans="1:7" x14ac:dyDescent="0.25">
      <c r="A12" s="1"/>
      <c r="B12" s="136" t="s">
        <v>83</v>
      </c>
      <c r="C12" s="137"/>
      <c r="D12" s="138"/>
      <c r="E12" s="10">
        <f>E11-E10</f>
        <v>-3609495.1290855831</v>
      </c>
      <c r="F12" s="11" t="s">
        <v>3</v>
      </c>
      <c r="G12" s="1"/>
    </row>
    <row r="13" spans="1:7" x14ac:dyDescent="0.25">
      <c r="A13" s="1"/>
      <c r="B13" s="118" t="s">
        <v>78</v>
      </c>
      <c r="C13" s="119"/>
      <c r="D13" s="119"/>
      <c r="E13" s="119"/>
      <c r="F13" s="120"/>
      <c r="G13" s="1"/>
    </row>
    <row r="14" spans="1:7" x14ac:dyDescent="0.25">
      <c r="A14" s="1"/>
      <c r="B14" s="121" t="s">
        <v>230</v>
      </c>
      <c r="C14" s="122"/>
      <c r="D14" s="123"/>
      <c r="E14" s="7">
        <v>0</v>
      </c>
      <c r="F14" s="8" t="s">
        <v>3</v>
      </c>
      <c r="G14" s="1"/>
    </row>
    <row r="15" spans="1:7" x14ac:dyDescent="0.25">
      <c r="A15" s="1"/>
      <c r="B15" s="115" t="s">
        <v>231</v>
      </c>
      <c r="C15" s="116"/>
      <c r="D15" s="117"/>
      <c r="E15" s="7">
        <v>0</v>
      </c>
      <c r="F15" s="8" t="s">
        <v>3</v>
      </c>
      <c r="G15" s="1"/>
    </row>
    <row r="16" spans="1:7" x14ac:dyDescent="0.25">
      <c r="A16" s="1"/>
      <c r="B16" s="136" t="s">
        <v>83</v>
      </c>
      <c r="C16" s="137"/>
      <c r="D16" s="138"/>
      <c r="E16" s="10">
        <f>E15-E14</f>
        <v>0</v>
      </c>
      <c r="F16" s="11" t="s">
        <v>3</v>
      </c>
      <c r="G16" s="1"/>
    </row>
    <row r="17" spans="1:7" x14ac:dyDescent="0.25">
      <c r="A17" s="1"/>
      <c r="B17" s="33" t="s">
        <v>232</v>
      </c>
      <c r="C17" s="28"/>
      <c r="D17" s="28"/>
      <c r="E17" s="12">
        <f>E12+E16</f>
        <v>-3609495.1290855831</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xfSY2LBX2cAqK024JX5vB3C1xr3lL6u/hXJgMxxGpIj/wL6Uaj6tjQD+cb4yMjmoMrJK4+h9RMWZLO7QPWtqVA==" saltValue="TUG7926h2O5a51ll56aZcA=="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1" t="s">
        <v>182</v>
      </c>
      <c r="C3" s="111"/>
      <c r="D3" s="111"/>
      <c r="E3" s="111"/>
      <c r="F3" s="111"/>
      <c r="G3" s="111"/>
      <c r="H3" s="111"/>
      <c r="I3" s="111"/>
      <c r="J3" s="111"/>
      <c r="K3" s="111"/>
      <c r="L3" s="1"/>
    </row>
    <row r="4" spans="1:12" ht="15" customHeight="1" x14ac:dyDescent="0.25">
      <c r="A4" s="1"/>
      <c r="B4" s="111"/>
      <c r="C4" s="111"/>
      <c r="D4" s="111"/>
      <c r="E4" s="111"/>
      <c r="F4" s="111"/>
      <c r="G4" s="111"/>
      <c r="H4" s="111"/>
      <c r="I4" s="111"/>
      <c r="J4" s="111"/>
      <c r="K4" s="111"/>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8" t="s">
        <v>149</v>
      </c>
      <c r="C8" s="119"/>
      <c r="D8" s="119"/>
      <c r="E8" s="119"/>
      <c r="F8" s="119"/>
      <c r="G8" s="119"/>
      <c r="H8" s="119"/>
      <c r="I8" s="119"/>
      <c r="J8" s="119"/>
      <c r="K8" s="120"/>
      <c r="L8" s="1"/>
    </row>
    <row r="9" spans="1:12" ht="39.75" customHeight="1" x14ac:dyDescent="0.25">
      <c r="A9" s="1"/>
      <c r="B9" s="18" t="s">
        <v>0</v>
      </c>
      <c r="C9" s="18" t="s">
        <v>1</v>
      </c>
      <c r="D9" s="148" t="s">
        <v>165</v>
      </c>
      <c r="E9" s="149"/>
      <c r="F9" s="148" t="s">
        <v>2</v>
      </c>
      <c r="G9" s="149"/>
      <c r="H9" s="148" t="s">
        <v>164</v>
      </c>
      <c r="I9" s="149"/>
      <c r="J9" s="148" t="s">
        <v>27</v>
      </c>
      <c r="K9" s="149"/>
      <c r="L9" s="1"/>
    </row>
    <row r="10" spans="1:12" x14ac:dyDescent="0.25">
      <c r="A10" s="1"/>
      <c r="B10" s="86" t="s">
        <v>265</v>
      </c>
      <c r="C10" s="45"/>
      <c r="D10" s="9">
        <v>0</v>
      </c>
      <c r="E10" s="14" t="s">
        <v>3</v>
      </c>
      <c r="F10" s="9">
        <f>IFERROR(D10/C10,0)</f>
        <v>0</v>
      </c>
      <c r="G10" s="14" t="s">
        <v>3</v>
      </c>
      <c r="H10" s="41">
        <v>0</v>
      </c>
      <c r="I10" s="14" t="s">
        <v>3</v>
      </c>
      <c r="J10" s="41">
        <v>0</v>
      </c>
      <c r="K10" s="14" t="s">
        <v>3</v>
      </c>
      <c r="L10" s="1"/>
    </row>
    <row r="11" spans="1:12" x14ac:dyDescent="0.25">
      <c r="A11" s="1"/>
      <c r="B11" s="76" t="s">
        <v>150</v>
      </c>
      <c r="C11" s="77"/>
      <c r="D11" s="78"/>
      <c r="E11" s="78"/>
      <c r="F11" s="12">
        <f>SUM(F10:F10)</f>
        <v>0</v>
      </c>
      <c r="G11" s="12" t="s">
        <v>163</v>
      </c>
      <c r="H11" s="12">
        <f>SUM(H10:H10)</f>
        <v>0</v>
      </c>
      <c r="I11" s="12" t="s">
        <v>163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48"/>
      <c r="B45" s="48"/>
      <c r="C45" s="48"/>
      <c r="D45" s="48"/>
      <c r="E45" s="48"/>
      <c r="F45" s="48"/>
      <c r="G45" s="48"/>
      <c r="H45" s="48"/>
      <c r="I45" s="48"/>
      <c r="J45" s="48"/>
      <c r="K45" s="48"/>
      <c r="L45" s="48"/>
    </row>
    <row r="46" spans="1:12" x14ac:dyDescent="0.25">
      <c r="A46" s="48"/>
      <c r="B46" s="48"/>
      <c r="C46" s="48"/>
      <c r="D46" s="48"/>
      <c r="E46" s="48"/>
      <c r="F46" s="48"/>
      <c r="G46" s="48"/>
      <c r="H46" s="48"/>
      <c r="I46" s="48"/>
      <c r="J46" s="48"/>
      <c r="K46" s="48"/>
      <c r="L46" s="48"/>
    </row>
  </sheetData>
  <sheetProtection algorithmName="SHA-512" hashValue="tqxmrgtECgIHkKDwQd0u+uFDx6huw/rkPp25zQ6z9oe0IVJMiHQwIRz7q1lDKf1oivDk5gu/PLh1cGdwtbN89g==" saltValue="/GKE283U0PQqaiiIFUVzXA=="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183</v>
      </c>
      <c r="C3" s="111"/>
      <c r="D3" s="111"/>
      <c r="E3" s="111"/>
      <c r="F3" s="111"/>
      <c r="G3" s="1"/>
    </row>
    <row r="4" spans="1:7" ht="15" customHeight="1" x14ac:dyDescent="0.25">
      <c r="A4" s="1"/>
      <c r="B4" s="111"/>
      <c r="C4" s="111"/>
      <c r="D4" s="111"/>
      <c r="E4" s="111"/>
      <c r="F4" s="11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69</v>
      </c>
      <c r="C8" s="28"/>
      <c r="D8" s="28"/>
      <c r="E8" s="28"/>
      <c r="F8" s="19"/>
      <c r="G8" s="1"/>
    </row>
    <row r="9" spans="1:7" ht="17.25" customHeight="1" x14ac:dyDescent="0.25">
      <c r="A9" s="1"/>
      <c r="B9" s="87" t="s">
        <v>17</v>
      </c>
      <c r="C9" s="87" t="s">
        <v>11</v>
      </c>
      <c r="D9" s="88"/>
      <c r="E9" s="87" t="s">
        <v>28</v>
      </c>
      <c r="F9" s="32"/>
      <c r="G9" s="1"/>
    </row>
    <row r="10" spans="1:7" x14ac:dyDescent="0.25">
      <c r="A10" s="1"/>
      <c r="B10" s="24" t="s">
        <v>153</v>
      </c>
      <c r="C10" s="21">
        <f>'Fane 10. Anlægsprojekter (§ 19)'!H11</f>
        <v>0</v>
      </c>
      <c r="D10" s="14" t="s">
        <v>3</v>
      </c>
      <c r="E10" s="9">
        <f>SUM('Fane 10. Anlægsprojekter (§ 19)'!F11,'Fane 10. Anlægsprojekter (§ 19)'!J11)</f>
        <v>0</v>
      </c>
      <c r="F10" s="14" t="s">
        <v>3</v>
      </c>
      <c r="G10" s="1"/>
    </row>
    <row r="11" spans="1:7" x14ac:dyDescent="0.25">
      <c r="A11" s="1"/>
      <c r="B11" s="24" t="s">
        <v>272</v>
      </c>
      <c r="C11" s="21">
        <v>40873</v>
      </c>
      <c r="D11" s="14" t="s">
        <v>3</v>
      </c>
      <c r="E11" s="9">
        <v>143340</v>
      </c>
      <c r="F11" s="14" t="s">
        <v>3</v>
      </c>
      <c r="G11" s="1"/>
    </row>
    <row r="12" spans="1:7" x14ac:dyDescent="0.25">
      <c r="A12" s="1"/>
      <c r="B12" s="24"/>
      <c r="C12" s="21"/>
      <c r="D12" s="14" t="s">
        <v>3</v>
      </c>
      <c r="E12" s="9">
        <v>0</v>
      </c>
      <c r="F12" s="14" t="s">
        <v>3</v>
      </c>
      <c r="G12" s="1"/>
    </row>
    <row r="13" spans="1:7" x14ac:dyDescent="0.25">
      <c r="A13" s="1"/>
      <c r="B13" s="24"/>
      <c r="C13" s="21"/>
      <c r="D13" s="14" t="s">
        <v>3</v>
      </c>
      <c r="E13" s="9"/>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144</v>
      </c>
      <c r="C19" s="12">
        <f>SUM(C10:C18)</f>
        <v>40873</v>
      </c>
      <c r="D19" s="13" t="s">
        <v>3</v>
      </c>
      <c r="E19" s="12">
        <f>SUM(E10:E18)</f>
        <v>143340</v>
      </c>
      <c r="F19" s="13" t="s">
        <v>3</v>
      </c>
      <c r="G19" s="1"/>
    </row>
    <row r="20" spans="1:7" x14ac:dyDescent="0.25">
      <c r="A20" s="1"/>
      <c r="B20" s="33" t="s">
        <v>233</v>
      </c>
      <c r="C20" s="12">
        <f>C19*(1+'Fane 15. Nøgletal'!C16)</f>
        <v>44175.538399999998</v>
      </c>
      <c r="D20" s="13" t="s">
        <v>3</v>
      </c>
      <c r="E20" s="12">
        <f>E19*(1+'Fane 15. Nøgletal'!C16)</f>
        <v>154921.872</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zL/CmhkzO8FUdaFXXZ/xLk+OLmU9xpkbe68a2zM4JET5YPe1PXz5TmBICsTHM8EB0g/ILkZ1dQlpbfF5NGrtag==" saltValue="M6uQEcNeNqpi5FLQXMPGf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184</v>
      </c>
      <c r="C3" s="111"/>
      <c r="D3" s="111"/>
      <c r="E3" s="111"/>
      <c r="F3" s="111"/>
      <c r="G3" s="1"/>
    </row>
    <row r="4" spans="1:7" ht="15" customHeight="1" x14ac:dyDescent="0.25">
      <c r="A4" s="1"/>
      <c r="B4" s="111"/>
      <c r="C4" s="111"/>
      <c r="D4" s="111"/>
      <c r="E4" s="111"/>
      <c r="F4" s="111"/>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8" t="s">
        <v>260</v>
      </c>
      <c r="C8" s="119"/>
      <c r="D8" s="119"/>
      <c r="E8" s="119"/>
      <c r="F8" s="120"/>
      <c r="G8" s="1"/>
    </row>
    <row r="9" spans="1:7" x14ac:dyDescent="0.25">
      <c r="A9" s="1"/>
      <c r="B9" s="87" t="s">
        <v>17</v>
      </c>
      <c r="C9" s="87" t="s">
        <v>11</v>
      </c>
      <c r="D9" s="88"/>
      <c r="E9" s="87" t="s">
        <v>28</v>
      </c>
      <c r="F9" s="32"/>
      <c r="G9" s="1"/>
    </row>
    <row r="10" spans="1:7" x14ac:dyDescent="0.25">
      <c r="A10" s="1"/>
      <c r="B10" s="24" t="s">
        <v>273</v>
      </c>
      <c r="C10" s="21">
        <v>0</v>
      </c>
      <c r="D10" s="14" t="s">
        <v>3</v>
      </c>
      <c r="E10" s="9">
        <v>0</v>
      </c>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234</v>
      </c>
      <c r="C13" s="12">
        <f>SUM(C10:C12)</f>
        <v>0</v>
      </c>
      <c r="D13" s="13" t="s">
        <v>3</v>
      </c>
      <c r="E13" s="12">
        <f>SUM(E10:E12)</f>
        <v>0</v>
      </c>
      <c r="F13" s="13" t="s">
        <v>3</v>
      </c>
      <c r="G13" s="1"/>
    </row>
    <row r="14" spans="1:7" x14ac:dyDescent="0.25">
      <c r="A14" s="1"/>
      <c r="B14" s="33" t="s">
        <v>235</v>
      </c>
      <c r="C14" s="12">
        <f>C13*(1+'Fane 15. Nøgletal'!C16)^2</f>
        <v>0</v>
      </c>
      <c r="D14" s="13" t="s">
        <v>3</v>
      </c>
      <c r="E14" s="12">
        <f>E13*(1+'Fane 15. Nøgletal'!C16)^2</f>
        <v>0</v>
      </c>
      <c r="F14" s="13" t="s">
        <v>3</v>
      </c>
      <c r="G14" s="1"/>
    </row>
    <row r="15" spans="1:7" x14ac:dyDescent="0.25">
      <c r="A15" s="1"/>
      <c r="B15" s="1"/>
      <c r="C15" s="1"/>
      <c r="D15" s="1"/>
      <c r="E15" s="1"/>
      <c r="F15" s="1"/>
      <c r="G15" s="1"/>
    </row>
    <row r="16" spans="1:7" x14ac:dyDescent="0.25">
      <c r="A16" s="1"/>
      <c r="B16" s="150"/>
      <c r="C16" s="150"/>
      <c r="D16" s="150"/>
      <c r="E16" s="150"/>
      <c r="F16" s="150"/>
      <c r="G16" s="1"/>
    </row>
    <row r="17" spans="1:7" x14ac:dyDescent="0.25">
      <c r="A17" s="1"/>
      <c r="B17" s="52"/>
      <c r="C17" s="52"/>
      <c r="D17" s="52"/>
      <c r="E17" s="52"/>
      <c r="F17" s="53"/>
      <c r="G17" s="1"/>
    </row>
    <row r="18" spans="1:7" x14ac:dyDescent="0.25">
      <c r="A18" s="1"/>
      <c r="B18" s="54"/>
      <c r="C18" s="55"/>
      <c r="D18" s="56"/>
      <c r="E18" s="57"/>
      <c r="F18" s="56"/>
      <c r="G18" s="1"/>
    </row>
    <row r="19" spans="1:7" x14ac:dyDescent="0.25">
      <c r="A19" s="1"/>
      <c r="B19" s="54"/>
      <c r="C19" s="55"/>
      <c r="D19" s="56"/>
      <c r="E19" s="57"/>
      <c r="F19" s="56"/>
      <c r="G19" s="1"/>
    </row>
    <row r="20" spans="1:7" x14ac:dyDescent="0.25">
      <c r="A20" s="1"/>
      <c r="B20" s="58"/>
      <c r="C20" s="59"/>
      <c r="D20" s="60"/>
      <c r="E20" s="59"/>
      <c r="F20" s="60"/>
      <c r="G20" s="1"/>
    </row>
    <row r="21" spans="1:7" x14ac:dyDescent="0.25">
      <c r="A21" s="1"/>
      <c r="B21" s="58"/>
      <c r="C21" s="59"/>
      <c r="D21" s="60"/>
      <c r="E21" s="59"/>
      <c r="F21" s="60"/>
      <c r="G21" s="1"/>
    </row>
    <row r="22" spans="1:7" x14ac:dyDescent="0.25">
      <c r="A22" s="1"/>
      <c r="B22" s="51"/>
      <c r="C22" s="51"/>
      <c r="D22" s="51"/>
      <c r="E22" s="51"/>
      <c r="F22" s="51"/>
      <c r="G22" s="1"/>
    </row>
    <row r="23" spans="1:7" x14ac:dyDescent="0.25">
      <c r="A23" s="1"/>
      <c r="B23" s="150"/>
      <c r="C23" s="150"/>
      <c r="D23" s="150"/>
      <c r="E23" s="150"/>
      <c r="F23" s="150"/>
      <c r="G23" s="1"/>
    </row>
    <row r="24" spans="1:7" x14ac:dyDescent="0.25">
      <c r="A24" s="1"/>
      <c r="B24" s="52"/>
      <c r="C24" s="52"/>
      <c r="D24" s="52"/>
      <c r="E24" s="52"/>
      <c r="F24" s="53"/>
      <c r="G24" s="1"/>
    </row>
    <row r="25" spans="1:7" x14ac:dyDescent="0.25">
      <c r="A25" s="1"/>
      <c r="B25" s="54"/>
      <c r="C25" s="55"/>
      <c r="D25" s="56"/>
      <c r="E25" s="57"/>
      <c r="F25" s="56"/>
      <c r="G25" s="1"/>
    </row>
    <row r="26" spans="1:7" x14ac:dyDescent="0.25">
      <c r="A26" s="1"/>
      <c r="B26" s="54"/>
      <c r="C26" s="55"/>
      <c r="D26" s="56"/>
      <c r="E26" s="57"/>
      <c r="F26" s="56"/>
      <c r="G26" s="1"/>
    </row>
    <row r="27" spans="1:7" x14ac:dyDescent="0.25">
      <c r="A27" s="1"/>
      <c r="B27" s="58"/>
      <c r="C27" s="59"/>
      <c r="D27" s="60"/>
      <c r="E27" s="59"/>
      <c r="F27" s="60"/>
      <c r="G27" s="1"/>
    </row>
    <row r="28" spans="1:7" x14ac:dyDescent="0.25">
      <c r="A28" s="1"/>
      <c r="B28" s="58"/>
      <c r="C28" s="59"/>
      <c r="D28" s="60"/>
      <c r="E28" s="59"/>
      <c r="F28" s="60"/>
      <c r="G28" s="1"/>
    </row>
    <row r="29" spans="1:7" x14ac:dyDescent="0.25">
      <c r="A29" s="1"/>
      <c r="B29" s="51"/>
      <c r="C29" s="51"/>
      <c r="D29" s="51"/>
      <c r="E29" s="51"/>
      <c r="F29" s="51"/>
      <c r="G29" s="1"/>
    </row>
    <row r="30" spans="1:7" x14ac:dyDescent="0.25">
      <c r="A30" s="1"/>
      <c r="B30" s="150"/>
      <c r="C30" s="150"/>
      <c r="D30" s="150"/>
      <c r="E30" s="150"/>
      <c r="F30" s="150"/>
      <c r="G30" s="1"/>
    </row>
    <row r="31" spans="1:7" x14ac:dyDescent="0.25">
      <c r="A31" s="1"/>
      <c r="B31" s="52"/>
      <c r="C31" s="52"/>
      <c r="D31" s="52"/>
      <c r="E31" s="52"/>
      <c r="F31" s="53"/>
      <c r="G31" s="1"/>
    </row>
    <row r="32" spans="1:7" x14ac:dyDescent="0.25">
      <c r="A32" s="1"/>
      <c r="B32" s="54"/>
      <c r="C32" s="55"/>
      <c r="D32" s="56"/>
      <c r="E32" s="57"/>
      <c r="F32" s="56"/>
      <c r="G32" s="1"/>
    </row>
    <row r="33" spans="1:7" x14ac:dyDescent="0.25">
      <c r="A33" s="1"/>
      <c r="B33" s="54"/>
      <c r="C33" s="55"/>
      <c r="D33" s="56"/>
      <c r="E33" s="57"/>
      <c r="F33" s="56"/>
      <c r="G33" s="1"/>
    </row>
    <row r="34" spans="1:7" x14ac:dyDescent="0.25">
      <c r="A34" s="1"/>
      <c r="B34" s="58"/>
      <c r="C34" s="59"/>
      <c r="D34" s="60"/>
      <c r="E34" s="59"/>
      <c r="F34" s="60"/>
      <c r="G34" s="1"/>
    </row>
    <row r="35" spans="1:7" x14ac:dyDescent="0.25">
      <c r="A35" s="1"/>
      <c r="B35" s="58"/>
      <c r="C35" s="59"/>
      <c r="D35" s="60"/>
      <c r="E35" s="59"/>
      <c r="F35" s="60"/>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moiPqALxRYQtl5jd5GN1jFPr0vzD2QilM4IyVYQl8HrpJC46qUDH8U6sKe225vybnSEiMTHt3KJF/z67hKVPxw==" saltValue="b7THmnABwzwqPoDUhx6ZzA==" spinCount="100000" sheet="1" objects="1" scenarios="1"/>
  <mergeCells count="5">
    <mergeCell ref="B30:F30"/>
    <mergeCell ref="B3:F4"/>
    <mergeCell ref="B8:F8"/>
    <mergeCell ref="B16:F16"/>
    <mergeCell ref="B23:F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185</v>
      </c>
      <c r="C3" s="114"/>
      <c r="D3" s="114"/>
      <c r="E3" s="114"/>
      <c r="F3" s="114"/>
      <c r="G3" s="1"/>
    </row>
    <row r="4" spans="1:7" ht="15" customHeight="1" x14ac:dyDescent="0.25">
      <c r="A4" s="1"/>
      <c r="B4" s="114"/>
      <c r="C4" s="114"/>
      <c r="D4" s="114"/>
      <c r="E4" s="114"/>
      <c r="F4" s="114"/>
      <c r="G4" s="1"/>
    </row>
    <row r="5" spans="1:7" x14ac:dyDescent="0.25">
      <c r="A5" s="1"/>
      <c r="B5" s="114"/>
      <c r="C5" s="114"/>
      <c r="D5" s="114"/>
      <c r="E5" s="114"/>
      <c r="F5" s="114"/>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18" t="s">
        <v>110</v>
      </c>
      <c r="C9" s="119"/>
      <c r="D9" s="119"/>
      <c r="E9" s="119"/>
      <c r="F9" s="120"/>
      <c r="G9" s="1"/>
    </row>
    <row r="10" spans="1:7" x14ac:dyDescent="0.25">
      <c r="A10" s="1"/>
      <c r="B10" s="142" t="s">
        <v>236</v>
      </c>
      <c r="C10" s="143"/>
      <c r="D10" s="144"/>
      <c r="E10" s="9">
        <v>1982087.5439933853</v>
      </c>
      <c r="F10" s="14" t="s">
        <v>3</v>
      </c>
      <c r="G10" s="1"/>
    </row>
    <row r="11" spans="1:7" x14ac:dyDescent="0.25">
      <c r="A11" s="1"/>
      <c r="B11" s="151" t="s">
        <v>10</v>
      </c>
      <c r="C11" s="152"/>
      <c r="D11" s="153"/>
      <c r="E11" s="9">
        <f>-E10*'Fane 5. Individuelt eff. krav'!G9</f>
        <v>-5886.2775664955116</v>
      </c>
      <c r="F11" s="14" t="s">
        <v>3</v>
      </c>
      <c r="G11" s="1"/>
    </row>
    <row r="12" spans="1:7" x14ac:dyDescent="0.25">
      <c r="A12" s="1"/>
      <c r="B12" s="151" t="s">
        <v>23</v>
      </c>
      <c r="C12" s="152"/>
      <c r="D12" s="153"/>
      <c r="E12" s="9">
        <f>-E10*'Fane 15. Nøgletal'!C33</f>
        <v>-39641.750879867708</v>
      </c>
      <c r="F12" s="14" t="s">
        <v>3</v>
      </c>
      <c r="G12" s="1"/>
    </row>
    <row r="13" spans="1:7" x14ac:dyDescent="0.25">
      <c r="A13" s="1"/>
      <c r="B13" s="118" t="s">
        <v>111</v>
      </c>
      <c r="C13" s="119"/>
      <c r="D13" s="120"/>
      <c r="E13" s="12">
        <f>SUM(E10:E12)*(1+'Fane 15. Nøgletal'!C16)^2</f>
        <v>2262150.6331750015</v>
      </c>
      <c r="F13" s="13" t="s">
        <v>3</v>
      </c>
      <c r="G13" s="1"/>
    </row>
    <row r="14" spans="1:7" x14ac:dyDescent="0.25">
      <c r="A14" s="1"/>
      <c r="B14" s="1"/>
      <c r="C14" s="1"/>
      <c r="D14" s="1"/>
      <c r="E14" s="1"/>
      <c r="F14" s="1"/>
      <c r="G14" s="1"/>
    </row>
    <row r="15" spans="1:7" ht="15" customHeight="1" x14ac:dyDescent="0.25">
      <c r="A15" s="1"/>
      <c r="B15" s="118" t="s">
        <v>124</v>
      </c>
      <c r="C15" s="119"/>
      <c r="D15" s="119"/>
      <c r="E15" s="119"/>
      <c r="F15" s="120"/>
      <c r="G15" s="1"/>
    </row>
    <row r="16" spans="1:7" x14ac:dyDescent="0.25">
      <c r="A16" s="1"/>
      <c r="B16" s="142" t="s">
        <v>236</v>
      </c>
      <c r="C16" s="143"/>
      <c r="D16" s="144"/>
      <c r="E16" s="9">
        <v>1982087.5439933853</v>
      </c>
      <c r="F16" s="14" t="s">
        <v>3</v>
      </c>
      <c r="G16" s="1"/>
    </row>
    <row r="17" spans="1:7" x14ac:dyDescent="0.25">
      <c r="A17" s="1"/>
      <c r="B17" s="151" t="s">
        <v>10</v>
      </c>
      <c r="C17" s="152"/>
      <c r="D17" s="153"/>
      <c r="E17" s="9">
        <f>-E16*'Fane 5. Individuelt eff. krav'!G9</f>
        <v>-5886.2775664955116</v>
      </c>
      <c r="F17" s="14" t="s">
        <v>3</v>
      </c>
      <c r="G17" s="1"/>
    </row>
    <row r="18" spans="1:7" x14ac:dyDescent="0.25">
      <c r="A18" s="1"/>
      <c r="B18" s="151" t="s">
        <v>23</v>
      </c>
      <c r="C18" s="152"/>
      <c r="D18" s="153"/>
      <c r="E18" s="9">
        <f>-E16*'Fane 15. Nøgletal'!C33</f>
        <v>-39641.750879867708</v>
      </c>
      <c r="F18" s="14" t="s">
        <v>3</v>
      </c>
      <c r="G18" s="1"/>
    </row>
    <row r="19" spans="1:7" x14ac:dyDescent="0.25">
      <c r="A19" s="1"/>
      <c r="B19" s="118" t="s">
        <v>125</v>
      </c>
      <c r="C19" s="119"/>
      <c r="D19" s="120"/>
      <c r="E19" s="12">
        <f>SUM(E16:E18)*(1+'Fane 15. Nøgletal'!C16)^3</f>
        <v>2444932.4043355417</v>
      </c>
      <c r="F19" s="13" t="s">
        <v>3</v>
      </c>
      <c r="G19" s="1"/>
    </row>
    <row r="20" spans="1:7" x14ac:dyDescent="0.25">
      <c r="A20" s="1"/>
      <c r="B20" s="1"/>
      <c r="C20" s="1"/>
      <c r="D20" s="1"/>
      <c r="E20" s="1"/>
      <c r="F20" s="1"/>
      <c r="G20" s="1"/>
    </row>
    <row r="21" spans="1:7" ht="15" customHeight="1" x14ac:dyDescent="0.25">
      <c r="A21" s="1"/>
      <c r="B21" s="118" t="s">
        <v>145</v>
      </c>
      <c r="C21" s="119"/>
      <c r="D21" s="119"/>
      <c r="E21" s="119"/>
      <c r="F21" s="120"/>
      <c r="G21" s="1"/>
    </row>
    <row r="22" spans="1:7" x14ac:dyDescent="0.25">
      <c r="A22" s="1"/>
      <c r="B22" s="142" t="s">
        <v>236</v>
      </c>
      <c r="C22" s="143"/>
      <c r="D22" s="144"/>
      <c r="E22" s="9">
        <v>1982087.5439933853</v>
      </c>
      <c r="F22" s="14" t="s">
        <v>3</v>
      </c>
      <c r="G22" s="1"/>
    </row>
    <row r="23" spans="1:7" x14ac:dyDescent="0.25">
      <c r="A23" s="1"/>
      <c r="B23" s="151" t="s">
        <v>10</v>
      </c>
      <c r="C23" s="152"/>
      <c r="D23" s="153"/>
      <c r="E23" s="9">
        <f>-E22*'Fane 5. Individuelt eff. krav'!G9</f>
        <v>-5886.2775664955116</v>
      </c>
      <c r="F23" s="14" t="s">
        <v>3</v>
      </c>
      <c r="G23" s="1"/>
    </row>
    <row r="24" spans="1:7" x14ac:dyDescent="0.25">
      <c r="A24" s="1"/>
      <c r="B24" s="151" t="s">
        <v>23</v>
      </c>
      <c r="C24" s="152"/>
      <c r="D24" s="153"/>
      <c r="E24" s="9">
        <f>-E22*'Fane 15. Nøgletal'!C33</f>
        <v>-39641.750879867708</v>
      </c>
      <c r="F24" s="14" t="s">
        <v>3</v>
      </c>
      <c r="G24" s="1"/>
    </row>
    <row r="25" spans="1:7" x14ac:dyDescent="0.25">
      <c r="A25" s="1"/>
      <c r="B25" s="118" t="s">
        <v>146</v>
      </c>
      <c r="C25" s="119"/>
      <c r="D25" s="120"/>
      <c r="E25" s="12">
        <f>SUM(E22:E24)*(1+'Fane 15. Nøgletal'!C16)^4</f>
        <v>2642482.9426058531</v>
      </c>
      <c r="F25" s="13" t="s">
        <v>3</v>
      </c>
      <c r="G25" s="1"/>
    </row>
    <row r="26" spans="1:7" x14ac:dyDescent="0.25">
      <c r="A26" s="1"/>
      <c r="B26" s="1"/>
      <c r="C26" s="1"/>
      <c r="D26" s="1"/>
      <c r="E26" s="1"/>
      <c r="F26" s="1"/>
      <c r="G26" s="1"/>
    </row>
    <row r="27" spans="1:7" ht="15" customHeight="1" x14ac:dyDescent="0.25">
      <c r="A27" s="1"/>
      <c r="B27" s="118" t="s">
        <v>237</v>
      </c>
      <c r="C27" s="119"/>
      <c r="D27" s="119"/>
      <c r="E27" s="119"/>
      <c r="F27" s="120"/>
      <c r="G27" s="1"/>
    </row>
    <row r="28" spans="1:7" ht="14.25" customHeight="1" x14ac:dyDescent="0.25">
      <c r="A28" s="1"/>
      <c r="B28" s="142" t="s">
        <v>236</v>
      </c>
      <c r="C28" s="143"/>
      <c r="D28" s="144"/>
      <c r="E28" s="9">
        <v>1982087.5439933853</v>
      </c>
      <c r="F28" s="14" t="s">
        <v>3</v>
      </c>
      <c r="G28" s="1"/>
    </row>
    <row r="29" spans="1:7" x14ac:dyDescent="0.25">
      <c r="A29" s="1"/>
      <c r="B29" s="151" t="s">
        <v>10</v>
      </c>
      <c r="C29" s="152"/>
      <c r="D29" s="153"/>
      <c r="E29" s="9">
        <f>-E28*'Fane 5. Individuelt eff. krav'!G9</f>
        <v>-5886.2775664955116</v>
      </c>
      <c r="F29" s="14" t="s">
        <v>3</v>
      </c>
      <c r="G29" s="1"/>
    </row>
    <row r="30" spans="1:7" x14ac:dyDescent="0.25">
      <c r="A30" s="1"/>
      <c r="B30" s="151" t="s">
        <v>23</v>
      </c>
      <c r="C30" s="152"/>
      <c r="D30" s="153"/>
      <c r="E30" s="9">
        <f>-E28*'Fane 15. Nøgletal'!C33</f>
        <v>-39641.750879867708</v>
      </c>
      <c r="F30" s="14" t="s">
        <v>3</v>
      </c>
      <c r="G30" s="1"/>
    </row>
    <row r="31" spans="1:7" x14ac:dyDescent="0.25">
      <c r="A31" s="1"/>
      <c r="B31" s="118" t="s">
        <v>238</v>
      </c>
      <c r="C31" s="119"/>
      <c r="D31" s="120"/>
      <c r="E31" s="12">
        <f>SUM(E28:E30)*(1+'Fane 15. Nøgletal'!C16)^5</f>
        <v>2855995.5643684058</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ur3hGHI6Q7spDqCg8neQ6+F+7vYrjOH2zU/BMIrLUwY/imRLSQjTBKsi0WoFztACc3pujQ8bPBb+qUZvTc0e5g==" saltValue="i5FhxqtcIHT+f9kFX2U0XQ==" spinCount="100000" sheet="1" objects="1" scenarios="1"/>
  <mergeCells count="21">
    <mergeCell ref="B3:F5"/>
    <mergeCell ref="B13:D13"/>
    <mergeCell ref="B15:F15"/>
    <mergeCell ref="B9:F9"/>
    <mergeCell ref="B10:D10"/>
    <mergeCell ref="B11:D11"/>
    <mergeCell ref="B12:D12"/>
    <mergeCell ref="B25:D25"/>
    <mergeCell ref="B21:F21"/>
    <mergeCell ref="B22:D22"/>
    <mergeCell ref="B19:D19"/>
    <mergeCell ref="B16:D16"/>
    <mergeCell ref="B17:D17"/>
    <mergeCell ref="B18:D18"/>
    <mergeCell ref="B23:D23"/>
    <mergeCell ref="B24:D24"/>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186</v>
      </c>
      <c r="C3" s="114"/>
      <c r="D3" s="114"/>
      <c r="E3" s="114"/>
      <c r="F3" s="114"/>
      <c r="G3" s="1"/>
    </row>
    <row r="4" spans="1:7" ht="25.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8" t="s">
        <v>112</v>
      </c>
      <c r="C8" s="119"/>
      <c r="D8" s="119"/>
      <c r="E8" s="119"/>
      <c r="F8" s="120"/>
      <c r="G8" s="1"/>
    </row>
    <row r="9" spans="1:7" ht="15" customHeight="1" x14ac:dyDescent="0.25">
      <c r="A9" s="1"/>
      <c r="B9" s="31" t="s">
        <v>113</v>
      </c>
      <c r="C9" s="31" t="s">
        <v>11</v>
      </c>
      <c r="D9" s="32"/>
      <c r="E9" s="31" t="s">
        <v>28</v>
      </c>
      <c r="F9" s="32"/>
      <c r="G9" s="1"/>
    </row>
    <row r="10" spans="1:7" ht="26.25" x14ac:dyDescent="0.25">
      <c r="A10" s="1"/>
      <c r="B10" s="71" t="s">
        <v>269</v>
      </c>
      <c r="C10" s="9">
        <v>0</v>
      </c>
      <c r="D10" s="14" t="s">
        <v>3</v>
      </c>
      <c r="E10" s="9">
        <v>0</v>
      </c>
      <c r="F10" s="14" t="s">
        <v>3</v>
      </c>
      <c r="G10" s="1"/>
    </row>
    <row r="11" spans="1:7" x14ac:dyDescent="0.25">
      <c r="A11" s="1"/>
      <c r="B11" s="24"/>
      <c r="C11" s="9"/>
      <c r="D11" s="14" t="s">
        <v>3</v>
      </c>
      <c r="E11" s="9"/>
      <c r="F11" s="14" t="s">
        <v>3</v>
      </c>
      <c r="G11" s="1"/>
    </row>
    <row r="12" spans="1:7" x14ac:dyDescent="0.25">
      <c r="A12" s="1"/>
      <c r="B12" s="24"/>
      <c r="C12" s="9"/>
      <c r="D12" s="14" t="s">
        <v>3</v>
      </c>
      <c r="E12" s="9"/>
      <c r="F12" s="14" t="s">
        <v>3</v>
      </c>
      <c r="G12" s="1"/>
    </row>
    <row r="13" spans="1:7" ht="28.5" customHeight="1" x14ac:dyDescent="0.25">
      <c r="A13" s="1"/>
      <c r="B13" s="20" t="s">
        <v>148</v>
      </c>
      <c r="C13" s="12">
        <f>SUM(C10:C12)</f>
        <v>0</v>
      </c>
      <c r="D13" s="13" t="s">
        <v>3</v>
      </c>
      <c r="E13" s="12">
        <f>SUM(E10:E12)</f>
        <v>0</v>
      </c>
      <c r="F13" s="13" t="s">
        <v>3</v>
      </c>
      <c r="G13" s="1"/>
    </row>
    <row r="14" spans="1:7" ht="27" customHeight="1" x14ac:dyDescent="0.25">
      <c r="A14" s="1"/>
      <c r="B14" s="20" t="s">
        <v>239</v>
      </c>
      <c r="C14" s="12">
        <f>C13*(1+'Fane 15. Nøgletal'!C16)</f>
        <v>0</v>
      </c>
      <c r="D14" s="13" t="s">
        <v>3</v>
      </c>
      <c r="E14" s="12">
        <f>E13*(1+'Fane 15.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2iwWBMjvhTqkHnTMq9ZWmARaLdrkCV90df5Kw9QJeqw39PbiQxlXjb9g2JLSBwQ5AyOW1TC4UTHktbMOeSV/og==" saltValue="1/igo6QR76DBIQxHfamwbQ=="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5.710937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4" t="s">
        <v>187</v>
      </c>
      <c r="C3" s="114"/>
      <c r="D3" s="114"/>
      <c r="E3" s="114"/>
      <c r="F3" s="114"/>
      <c r="G3" s="1"/>
    </row>
    <row r="4" spans="1:7" ht="25.5" customHeight="1" x14ac:dyDescent="0.25">
      <c r="A4" s="1"/>
      <c r="B4" s="114"/>
      <c r="C4" s="114"/>
      <c r="D4" s="114"/>
      <c r="E4" s="114"/>
      <c r="F4" s="11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18" t="s">
        <v>240</v>
      </c>
      <c r="C9" s="119"/>
      <c r="D9" s="119"/>
      <c r="E9" s="119"/>
      <c r="F9" s="120"/>
      <c r="G9" s="1"/>
    </row>
    <row r="10" spans="1:7" ht="26.25" customHeight="1" x14ac:dyDescent="0.25">
      <c r="A10" s="1"/>
      <c r="B10" s="31" t="s">
        <v>18</v>
      </c>
      <c r="C10" s="145" t="s">
        <v>11</v>
      </c>
      <c r="D10" s="147"/>
      <c r="E10" s="145" t="s">
        <v>28</v>
      </c>
      <c r="F10" s="147"/>
      <c r="G10" s="1"/>
    </row>
    <row r="11" spans="1:7" x14ac:dyDescent="0.25">
      <c r="A11" s="1"/>
      <c r="B11" s="71" t="s">
        <v>270</v>
      </c>
      <c r="C11" s="9">
        <v>0</v>
      </c>
      <c r="D11" s="14" t="s">
        <v>3</v>
      </c>
      <c r="E11" s="9">
        <v>0</v>
      </c>
      <c r="F11" s="14" t="s">
        <v>3</v>
      </c>
      <c r="G11" s="1"/>
    </row>
    <row r="12" spans="1:7" x14ac:dyDescent="0.25">
      <c r="A12" s="1"/>
      <c r="B12" s="33" t="s">
        <v>77</v>
      </c>
      <c r="C12" s="12">
        <f>SUM(C11:C11)</f>
        <v>0</v>
      </c>
      <c r="D12" s="13" t="s">
        <v>3</v>
      </c>
      <c r="E12" s="12">
        <f>SUM(E11:E11)</f>
        <v>0</v>
      </c>
      <c r="F12" s="13" t="s">
        <v>3</v>
      </c>
      <c r="G12" s="1"/>
    </row>
    <row r="13" spans="1:7" x14ac:dyDescent="0.25">
      <c r="A13" s="1"/>
      <c r="B13" s="33" t="s">
        <v>241</v>
      </c>
      <c r="C13" s="12">
        <f>C12*(1+'Fane 15. Nøgletal'!C16)</f>
        <v>0</v>
      </c>
      <c r="D13" s="13" t="s">
        <v>3</v>
      </c>
      <c r="E13" s="12">
        <f>E12*(1+'Fane 15. Nøgletal'!C16)</f>
        <v>0</v>
      </c>
      <c r="F13" s="13" t="s">
        <v>3</v>
      </c>
      <c r="G13" s="1"/>
    </row>
    <row r="14" spans="1:7" x14ac:dyDescent="0.25">
      <c r="A14" s="1"/>
      <c r="B14" s="1"/>
      <c r="C14" s="1"/>
      <c r="D14" s="1"/>
      <c r="E14" s="1"/>
      <c r="F14" s="1"/>
      <c r="G14" s="1"/>
    </row>
    <row r="15" spans="1:7" x14ac:dyDescent="0.25">
      <c r="A15" s="1"/>
      <c r="B15" s="150"/>
      <c r="C15" s="150"/>
      <c r="D15" s="150"/>
      <c r="E15" s="150"/>
      <c r="F15" s="150"/>
      <c r="G15" s="1"/>
    </row>
    <row r="16" spans="1:7" x14ac:dyDescent="0.25">
      <c r="A16" s="1"/>
      <c r="B16" s="53"/>
      <c r="C16" s="53"/>
      <c r="D16" s="53"/>
      <c r="E16" s="53"/>
      <c r="F16" s="53"/>
      <c r="G16" s="1"/>
    </row>
    <row r="17" spans="1:7" x14ac:dyDescent="0.25">
      <c r="A17" s="1"/>
      <c r="B17" s="54"/>
      <c r="C17" s="57"/>
      <c r="D17" s="56"/>
      <c r="E17" s="57"/>
      <c r="F17" s="56"/>
      <c r="G17" s="1"/>
    </row>
    <row r="18" spans="1:7" x14ac:dyDescent="0.25">
      <c r="A18" s="1"/>
      <c r="B18" s="58"/>
      <c r="C18" s="59"/>
      <c r="D18" s="60"/>
      <c r="E18" s="59"/>
      <c r="F18" s="60"/>
      <c r="G18" s="1"/>
    </row>
    <row r="19" spans="1:7" x14ac:dyDescent="0.25">
      <c r="A19" s="1"/>
      <c r="B19" s="58"/>
      <c r="C19" s="59"/>
      <c r="D19" s="60"/>
      <c r="E19" s="59"/>
      <c r="F19" s="60"/>
      <c r="G19" s="1"/>
    </row>
    <row r="20" spans="1:7" x14ac:dyDescent="0.25">
      <c r="A20" s="1"/>
      <c r="B20" s="51"/>
      <c r="C20" s="51"/>
      <c r="D20" s="51"/>
      <c r="E20" s="51"/>
      <c r="F20" s="51"/>
      <c r="G20" s="1"/>
    </row>
    <row r="21" spans="1:7" x14ac:dyDescent="0.25">
      <c r="A21" s="1"/>
      <c r="B21" s="150"/>
      <c r="C21" s="150"/>
      <c r="D21" s="150"/>
      <c r="E21" s="150"/>
      <c r="F21" s="150"/>
      <c r="G21" s="1"/>
    </row>
    <row r="22" spans="1:7" x14ac:dyDescent="0.25">
      <c r="A22" s="1"/>
      <c r="B22" s="53"/>
      <c r="C22" s="53"/>
      <c r="D22" s="53"/>
      <c r="E22" s="53"/>
      <c r="F22" s="53"/>
      <c r="G22" s="1"/>
    </row>
    <row r="23" spans="1:7" x14ac:dyDescent="0.25">
      <c r="A23" s="1"/>
      <c r="B23" s="54"/>
      <c r="C23" s="57"/>
      <c r="D23" s="56"/>
      <c r="E23" s="57"/>
      <c r="F23" s="56"/>
      <c r="G23" s="1"/>
    </row>
    <row r="24" spans="1:7" x14ac:dyDescent="0.25">
      <c r="A24" s="1"/>
      <c r="B24" s="58"/>
      <c r="C24" s="59"/>
      <c r="D24" s="60"/>
      <c r="E24" s="59"/>
      <c r="F24" s="60"/>
      <c r="G24" s="1"/>
    </row>
    <row r="25" spans="1:7" x14ac:dyDescent="0.25">
      <c r="A25" s="1"/>
      <c r="B25" s="58"/>
      <c r="C25" s="59"/>
      <c r="D25" s="60"/>
      <c r="E25" s="59"/>
      <c r="F25" s="60"/>
      <c r="G25" s="1"/>
    </row>
    <row r="26" spans="1:7" x14ac:dyDescent="0.25">
      <c r="A26" s="1"/>
      <c r="B26" s="51"/>
      <c r="C26" s="51"/>
      <c r="D26" s="51"/>
      <c r="E26" s="51"/>
      <c r="F26" s="51"/>
      <c r="G26" s="1"/>
    </row>
    <row r="27" spans="1:7" x14ac:dyDescent="0.25">
      <c r="A27" s="1"/>
      <c r="B27" s="150"/>
      <c r="C27" s="150"/>
      <c r="D27" s="150"/>
      <c r="E27" s="150"/>
      <c r="F27" s="150"/>
      <c r="G27" s="1"/>
    </row>
    <row r="28" spans="1:7" x14ac:dyDescent="0.25">
      <c r="A28" s="1"/>
      <c r="B28" s="53"/>
      <c r="C28" s="53"/>
      <c r="D28" s="53"/>
      <c r="E28" s="53"/>
      <c r="F28" s="53"/>
      <c r="G28" s="1"/>
    </row>
    <row r="29" spans="1:7" x14ac:dyDescent="0.25">
      <c r="A29" s="1"/>
      <c r="B29" s="54"/>
      <c r="C29" s="57"/>
      <c r="D29" s="56"/>
      <c r="E29" s="57"/>
      <c r="F29" s="56"/>
      <c r="G29" s="1"/>
    </row>
    <row r="30" spans="1:7" x14ac:dyDescent="0.25">
      <c r="A30" s="1"/>
      <c r="B30" s="58"/>
      <c r="C30" s="59"/>
      <c r="D30" s="60"/>
      <c r="E30" s="59"/>
      <c r="F30" s="60"/>
      <c r="G30" s="1"/>
    </row>
    <row r="31" spans="1:7" x14ac:dyDescent="0.25">
      <c r="A31" s="1"/>
      <c r="B31" s="58"/>
      <c r="C31" s="59"/>
      <c r="D31" s="60"/>
      <c r="E31" s="59"/>
      <c r="F31" s="60"/>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uPrnCnvEKIr+duWNQyc+91szeXWTBLyplKwMbqUtK2N+BBRCanDdhVRE20Lpl2wUgC7nPXI5RwbRvVsdkq0T+A==" saltValue="cqJXmTX+IO1O01WJOuevRw==" spinCount="100000" sheet="1" objects="1" scenarios="1"/>
  <mergeCells count="7">
    <mergeCell ref="B27:F27"/>
    <mergeCell ref="B3:F4"/>
    <mergeCell ref="B9:F9"/>
    <mergeCell ref="B15:F15"/>
    <mergeCell ref="B21:F21"/>
    <mergeCell ref="E10:F10"/>
    <mergeCell ref="C10:D1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14" t="s">
        <v>188</v>
      </c>
      <c r="C3" s="114"/>
      <c r="D3" s="1"/>
    </row>
    <row r="4" spans="1:4" ht="25.5" customHeight="1" x14ac:dyDescent="0.25">
      <c r="A4" s="1"/>
      <c r="B4" s="114"/>
      <c r="C4" s="11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82" t="s">
        <v>94</v>
      </c>
      <c r="C9" s="25">
        <v>1.2699999999999999E-2</v>
      </c>
      <c r="D9" s="1"/>
    </row>
    <row r="10" spans="1:4" x14ac:dyDescent="0.25">
      <c r="A10" s="1"/>
      <c r="B10" s="82" t="s">
        <v>95</v>
      </c>
      <c r="C10" s="25">
        <v>1.7500000000000002E-2</v>
      </c>
      <c r="D10" s="1"/>
    </row>
    <row r="11" spans="1:4" x14ac:dyDescent="0.25">
      <c r="A11" s="1"/>
      <c r="B11" s="82" t="s">
        <v>22</v>
      </c>
      <c r="C11" s="25">
        <v>1.6899999999999998E-2</v>
      </c>
      <c r="D11" s="1"/>
    </row>
    <row r="12" spans="1:4" x14ac:dyDescent="0.25">
      <c r="A12" s="1"/>
      <c r="B12" s="34" t="s">
        <v>134</v>
      </c>
      <c r="C12" s="35">
        <v>1.9699999999999999E-2</v>
      </c>
      <c r="D12" s="1"/>
    </row>
    <row r="13" spans="1:4" x14ac:dyDescent="0.25">
      <c r="A13" s="1"/>
      <c r="B13" s="34" t="s">
        <v>115</v>
      </c>
      <c r="C13" s="35">
        <v>1.2200000000000001E-2</v>
      </c>
      <c r="D13" s="1"/>
    </row>
    <row r="14" spans="1:4" x14ac:dyDescent="0.25">
      <c r="A14" s="1"/>
      <c r="B14" s="82" t="s">
        <v>133</v>
      </c>
      <c r="C14" s="39">
        <v>3.3E-3</v>
      </c>
      <c r="D14" s="1"/>
    </row>
    <row r="15" spans="1:4" x14ac:dyDescent="0.25">
      <c r="A15" s="1"/>
      <c r="B15" s="34" t="s">
        <v>152</v>
      </c>
      <c r="C15" s="35">
        <v>3.56E-2</v>
      </c>
      <c r="D15" s="1"/>
    </row>
    <row r="16" spans="1:4" x14ac:dyDescent="0.25">
      <c r="A16" s="1"/>
      <c r="B16" s="65" t="s">
        <v>190</v>
      </c>
      <c r="C16" s="68">
        <v>8.0799999999999997E-2</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85</v>
      </c>
      <c r="C20" s="19"/>
      <c r="D20" s="1"/>
    </row>
    <row r="21" spans="1:4" x14ac:dyDescent="0.25">
      <c r="A21" s="1"/>
      <c r="B21" s="82" t="s">
        <v>96</v>
      </c>
      <c r="C21" s="22">
        <v>9.1000000000000004E-3</v>
      </c>
      <c r="D21" s="1"/>
    </row>
    <row r="22" spans="1:4" x14ac:dyDescent="0.25">
      <c r="A22" s="1"/>
      <c r="B22" s="82" t="s">
        <v>118</v>
      </c>
      <c r="C22" s="22">
        <v>1.77E-2</v>
      </c>
      <c r="D22" s="1"/>
    </row>
    <row r="23" spans="1:4" x14ac:dyDescent="0.25">
      <c r="A23" s="1"/>
      <c r="B23" s="82" t="s">
        <v>119</v>
      </c>
      <c r="C23" s="22">
        <v>8.6999999999999994E-3</v>
      </c>
      <c r="D23" s="1"/>
    </row>
    <row r="24" spans="1:4" x14ac:dyDescent="0.25">
      <c r="A24" s="1"/>
      <c r="B24" s="82" t="s">
        <v>97</v>
      </c>
      <c r="C24" s="36">
        <v>2.8400000000000002E-2</v>
      </c>
      <c r="D24" s="1"/>
    </row>
    <row r="25" spans="1:4" x14ac:dyDescent="0.25">
      <c r="A25" s="1"/>
      <c r="B25" s="82" t="s">
        <v>120</v>
      </c>
      <c r="C25" s="36">
        <v>2.75E-2</v>
      </c>
      <c r="D25" s="1"/>
    </row>
    <row r="26" spans="1:4" x14ac:dyDescent="0.25">
      <c r="A26" s="1"/>
      <c r="B26" s="82" t="s">
        <v>121</v>
      </c>
      <c r="C26" s="36">
        <v>1.4800000000000001E-2</v>
      </c>
      <c r="D26" s="1"/>
    </row>
    <row r="27" spans="1:4" x14ac:dyDescent="0.25">
      <c r="A27" s="1"/>
      <c r="B27" s="34" t="s">
        <v>147</v>
      </c>
      <c r="C27" s="64">
        <v>0</v>
      </c>
      <c r="D27" s="1"/>
    </row>
    <row r="28" spans="1:4" x14ac:dyDescent="0.25">
      <c r="A28" s="1"/>
      <c r="B28" s="65" t="s">
        <v>191</v>
      </c>
      <c r="C28" s="67">
        <v>0</v>
      </c>
      <c r="D28" s="1"/>
    </row>
    <row r="29" spans="1:4" x14ac:dyDescent="0.25">
      <c r="A29" s="1"/>
      <c r="B29" s="33"/>
      <c r="C29" s="19"/>
      <c r="D29" s="1"/>
    </row>
    <row r="30" spans="1:4" x14ac:dyDescent="0.25">
      <c r="A30" s="1"/>
      <c r="B30" s="1"/>
      <c r="C30" s="1"/>
      <c r="D30" s="1"/>
    </row>
    <row r="31" spans="1:4" x14ac:dyDescent="0.25">
      <c r="A31" s="1"/>
      <c r="B31" s="1"/>
      <c r="C31" s="1"/>
      <c r="D31" s="1"/>
    </row>
    <row r="32" spans="1:4" x14ac:dyDescent="0.25">
      <c r="A32" s="1"/>
      <c r="B32" s="33" t="s">
        <v>86</v>
      </c>
      <c r="C32" s="19"/>
      <c r="D32" s="1"/>
    </row>
    <row r="33" spans="1:4" x14ac:dyDescent="0.25">
      <c r="A33" s="1"/>
      <c r="B33" s="82" t="s">
        <v>98</v>
      </c>
      <c r="C33" s="25">
        <v>0.02</v>
      </c>
      <c r="D33" s="1"/>
    </row>
    <row r="34" spans="1:4" x14ac:dyDescent="0.25">
      <c r="A34" s="1"/>
      <c r="B34" s="33"/>
      <c r="C34" s="19"/>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xEax+ogu6TmR9kfLwZRrIwdGHvOYG/gbTeaa1VffHXjyMCxe8NhEL0upyXrsxDnw7Nva2Hqxh5uooMUuT0m9gA==" saltValue="tvLJ+vVTloywIxb1C9HK0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8</vt:i4>
      </vt:variant>
    </vt:vector>
  </HeadingPairs>
  <TitlesOfParts>
    <vt:vector size="28"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Korrektion af ØR2022</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Tabel_Fane_13</vt:lpstr>
      <vt:lpstr>Tabel_Fane_14</vt:lpstr>
      <vt:lpstr>Tabel_Fane_2_1</vt:lpstr>
      <vt:lpstr>Tabel_Fane_2_2</vt:lpstr>
      <vt:lpstr>Tabel_Fane_2_3</vt:lpstr>
      <vt:lpstr>Tabel_Fane_2_4</vt:lpstr>
      <vt:lpstr>Tabel_Fane_3</vt:lpstr>
      <vt:lpstr>Tabel_Fane_8</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Vera Høyer Moesgaard</cp:lastModifiedBy>
  <cp:lastPrinted>2016-06-14T12:57:30Z</cp:lastPrinted>
  <dcterms:created xsi:type="dcterms:W3CDTF">2016-06-02T08:51:18Z</dcterms:created>
  <dcterms:modified xsi:type="dcterms:W3CDTF">2024-02-12T14:05:34Z</dcterms:modified>
</cp:coreProperties>
</file>