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Denne_projektmappe" defaultThemeVersion="124226"/>
  <mc:AlternateContent xmlns:mc="http://schemas.openxmlformats.org/markup-compatibility/2006">
    <mc:Choice Requires="x15">
      <x15ac:absPath xmlns:x15ac="http://schemas.microsoft.com/office/spreadsheetml/2010/11/ac" url="E:\VAND\Sagsbehandling\Spildevand\Aarhus Vand AS (S110)\ØR2025\"/>
    </mc:Choice>
  </mc:AlternateContent>
  <xr:revisionPtr revIDLastSave="0" documentId="13_ncr:1_{9102BE81-F06D-4807-9571-65F99A508C72}"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ØR2024'!$B$8:$D$38</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7" i="39"/>
  <c r="E18" i="39" s="1"/>
  <c r="C17" i="39"/>
  <c r="C18" i="39" s="1"/>
  <c r="J11" i="11"/>
  <c r="H11" i="11"/>
  <c r="C10" i="37" s="1"/>
  <c r="C19" i="19"/>
  <c r="C20"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<sst xmlns="http://schemas.openxmlformats.org/spreadsheetml/2006/main" count="566" uniqueCount="240">
  <si>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</si>
  <si>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</si>
  <si>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</si>
  <si>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</si>
  <si>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</si>
  <si>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</si>
  <si>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</si>
  <si>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</si>
  <si>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</si>
  <si>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</si>
  <si>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</si>
  <si>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</si>
  <si>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</si>
  <si>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</si>
  <si>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</si>
  <si>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</si>
  <si>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</si>
  <si>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</si>
  <si>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</si>
  <si>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</si>
  <si>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</si>
  <si>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</si>
  <si>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</si>
  <si>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</si>
  <si>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</si>
  <si>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</si>
  <si>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</si>
  <si>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</si>
  <si>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</si>
  <si>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</si>
  <si>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</si>
  <si>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</si>
  <si>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</si>
  <si>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</si>
  <si>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</si>
  <si>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</si>
  <si>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</si>
  <si>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</si>
  <si>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</si>
  <si>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</si>
  <si>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</si>
  <si>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</si>
  <si>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</si>
  <si>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</si>
  <si>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</si>
  <si>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</si>
  <si>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</si>
  <si>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</si>
  <si>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</si>
  <si>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</si>
  <si>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</si>
  <si>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</si>
  <si>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</si>
  <si>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</si>
  <si>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</si>
  <si>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</si>
  <si>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</si>
  <si>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</si>
  <si>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</si>
  <si>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</si>
  <si>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</si>
  <si>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</si>
  <si>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</si>
  <si>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</si>
  <si>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</si>
  <si>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</si>
  <si>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</si>
  <si>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</si>
  <si>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</si>
  <si>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</si>
  <si>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</si>
  <si>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</si>
  <si>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</si>
  <si>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</si>
  <si>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</si>
  <si>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</si>
  <si>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</si>
  <si>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</si>
  <si>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</si>
  <si>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</si>
  <si>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</si>
  <si>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</si>
  <si>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</si>
  <si>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</si>
  <si>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</si>
  <si>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</si>
  <si>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</si>
  <si>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</si>
  <si>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</si>
  <si>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</si>
  <si>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</si>
  <si>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</si>
  <si>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</si>
  <si>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</si>
  <si>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</si>
  <si>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</si>
  <si>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</si>
  <si>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</si>
  <si>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</si>
  <si>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</si>
  <si>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</si>
  <si>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</si>
  <si>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</si>
  <si>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</si>
  <si>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</si>
  <si>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</si>
  <si>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</si>
  <si>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</si>
  <si>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</si>
  <si>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</si>
  <si>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</si>
  <si>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</si>
  <si>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</si>
  <si>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</si>
  <si>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</si>
  <si>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</si>
  <si>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</si>
  <si>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</si>
  <si>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</si>
  <si>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</si>
  <si>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</si>
  <si>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</si>
  <si>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</si>
  <si>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</si>
  <si>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</si>
  <si>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</si>
  <si>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</si>
  <si>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</si>
  <si>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</si>
  <si>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</si>
  <si>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</si>
  <si>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</si>
  <si>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</si>
  <si>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</si>
  <si>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</si>
  <si>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</si>
  <si>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</si>
  <si>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</si>
  <si>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</si>
  <si>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</si>
  <si>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</si>
  <si>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</si>
  <si>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</si>
  <si>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</si>
  <si>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</si>
  <si>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</si>
  <si>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</si>
  <si>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</si>
  <si>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</si>
  <si>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</si>
  <si>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</si>
  <si>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</si>
  <si>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</si>
  <si>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</si>
  <si>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</si>
  <si>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</si>
  <si>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</si>
  <si>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</si>
  <si>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</si>
  <si>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</si>
  <si>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</si>
  <si>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</si>
  <si>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</si>
  <si>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</si>
  <si>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</si>
  <si>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</si>
  <si>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</si>
  <si>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</si>
  <si>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</si>
  <si>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</si>
  <si>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</si>
  <si>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</si>
  <si>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</si>
  <si>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</si>
  <si>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</si>
  <si>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</si>
  <si>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</si>
  <si>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</si>
  <si>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</si>
  <si>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</si>
  <si>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</si>
  <si>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</si>
  <si>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</si>
  <si>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</si>
  <si>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</si>
  <si>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</si>
  <si>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</si>
  <si>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</si>
  <si>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</si>
  <si>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</si>
  <si>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</si>
  <si>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</si>
  <si>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</si>
  <si>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</si>
  <si>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</si>
  <si>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</si>
  <si>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</si>
  <si>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</si>
  <si>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</si>
  <si>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</si>
  <si>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</si>
  <si>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</si>
  <si>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</si>
  <si>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</si>
  <si>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</si>
  <si>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</si>
  <si>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</si>
  <si>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</si>
  <si>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</si>
  <si>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</si>
  <si>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</si>
  <si>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</si>
  <si>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</si>
  <si>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</si>
  <si>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</si>
  <si>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</si>
  <si>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</si>
  <si>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</si>
  <si>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</si>
  <si>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</si>
  <si>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</si>
  <si>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</si>
  <si>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</si>
  <si>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</si>
  <si>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</si>
  <si>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</si>
  <si>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Til statusmeddelelse for 2025</t>
  </si>
  <si>
    <t>Spildevandsafgift</t>
  </si>
  <si>
    <t>Afgift til Forsyningssekretariatet</t>
  </si>
  <si>
    <t>Køb af ydelser og produkter fra andre vandselskaber reguleret af vandsektorloven</t>
  </si>
  <si>
    <t>Ejendomsskatter</t>
  </si>
  <si>
    <t>Tjenestemandspensioner</t>
  </si>
  <si>
    <t>Erstatninger</t>
  </si>
  <si>
    <t>Gebyr til Miljøstyrelsen</t>
  </si>
  <si>
    <t>Adskillelse</t>
  </si>
  <si>
    <t>Klimaaftalen</t>
  </si>
  <si>
    <t>Omlægninger, 2023</t>
  </si>
  <si>
    <t>Udvidelse, 2023</t>
  </si>
  <si>
    <t>Beredskabshændelse</t>
  </si>
  <si>
    <t>Periodevise driftsomkostninger – Oprensning af 12 regnvandsbassiner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</si>
</sst>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3">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3" fontId="8" fillId="0" borderId="1" xfId="0" applyNumberFormat="1" applyFont="1" applyFill="1" applyBorder="1" applyAlignment="1" applyProtection="1"/>
    <xf numFmtId="0" fontId="8" fillId="0" borderId="1" xfId="0"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1" fontId="8" fillId="8" borderId="1" xfId="1" applyNumberFormat="1" applyFont="1" applyFill="1" applyBorder="1" applyProtection="1"/>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Border="1" applyAlignment="1" applyProtection="1">
      <alignmen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97" t="s">
        <v>4</v>
      </c>
      <c r="D6" s="97"/>
      <c r="E6" s="97"/>
      <c r="F6" s="97"/>
      <c r="G6" s="3"/>
    </row>
    <row r="7" spans="1:7" ht="15" customHeight="1" x14ac:dyDescent="0.25">
      <c r="A7" s="1"/>
      <c r="B7" s="3"/>
      <c r="C7" s="97"/>
      <c r="D7" s="97"/>
      <c r="E7" s="97"/>
      <c r="F7" s="97"/>
      <c r="G7" s="3"/>
    </row>
    <row r="8" spans="1:7" ht="15.75" x14ac:dyDescent="0.25">
      <c r="A8" s="1"/>
      <c r="B8" s="4"/>
      <c r="C8" s="102" t="s">
        <v>226</v>
      </c>
      <c r="D8" s="102"/>
      <c r="E8" s="102"/>
      <c r="F8" s="102"/>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101" t="s">
        <v>5</v>
      </c>
      <c r="D11" s="101"/>
      <c r="E11" s="101"/>
      <c r="F11" s="101"/>
      <c r="G11" s="5"/>
    </row>
    <row r="12" spans="1:7" x14ac:dyDescent="0.25">
      <c r="A12" s="1"/>
      <c r="B12" s="1"/>
      <c r="C12" s="1"/>
      <c r="D12" s="1"/>
      <c r="E12" s="1"/>
      <c r="F12" s="1"/>
      <c r="G12" s="5"/>
    </row>
    <row r="13" spans="1:7" x14ac:dyDescent="0.25">
      <c r="A13" s="1"/>
      <c r="B13" s="6" t="s">
        <v>6</v>
      </c>
      <c r="C13" s="103" t="s">
        <v>127</v>
      </c>
      <c r="D13" s="104"/>
      <c r="E13" s="104"/>
      <c r="F13" s="105"/>
      <c r="G13" s="5"/>
    </row>
    <row r="14" spans="1:7" x14ac:dyDescent="0.25">
      <c r="A14" s="1"/>
      <c r="B14" s="6" t="s">
        <v>16</v>
      </c>
      <c r="C14" s="94" t="s">
        <v>186</v>
      </c>
      <c r="D14" s="95"/>
      <c r="E14" s="95"/>
      <c r="F14" s="96"/>
      <c r="G14" s="5"/>
    </row>
    <row r="15" spans="1:7" x14ac:dyDescent="0.25">
      <c r="A15" s="1"/>
      <c r="B15" s="6" t="s">
        <v>30</v>
      </c>
      <c r="C15" s="94" t="s">
        <v>149</v>
      </c>
      <c r="D15" s="95"/>
      <c r="E15" s="95"/>
      <c r="F15" s="96"/>
      <c r="G15" s="5"/>
    </row>
    <row r="16" spans="1:7" x14ac:dyDescent="0.25">
      <c r="A16" s="1"/>
      <c r="B16" s="6" t="s">
        <v>31</v>
      </c>
      <c r="C16" s="94" t="s">
        <v>151</v>
      </c>
      <c r="D16" s="95"/>
      <c r="E16" s="95"/>
      <c r="F16" s="96"/>
      <c r="G16" s="5"/>
    </row>
    <row r="17" spans="1:8" x14ac:dyDescent="0.25">
      <c r="A17" s="1"/>
      <c r="B17" s="6" t="s">
        <v>61</v>
      </c>
      <c r="C17" s="94" t="s">
        <v>152</v>
      </c>
      <c r="D17" s="95"/>
      <c r="E17" s="95"/>
      <c r="F17" s="96"/>
      <c r="G17" s="5"/>
    </row>
    <row r="18" spans="1:8" x14ac:dyDescent="0.25">
      <c r="A18" s="1"/>
      <c r="B18" s="6" t="s">
        <v>53</v>
      </c>
      <c r="C18" s="91" t="s">
        <v>45</v>
      </c>
      <c r="D18" s="92"/>
      <c r="E18" s="92"/>
      <c r="F18" s="93"/>
      <c r="G18" s="5"/>
    </row>
    <row r="19" spans="1:8" x14ac:dyDescent="0.25">
      <c r="A19" s="1"/>
      <c r="B19" s="6" t="s">
        <v>54</v>
      </c>
      <c r="C19" s="91" t="s">
        <v>46</v>
      </c>
      <c r="D19" s="92"/>
      <c r="E19" s="92"/>
      <c r="F19" s="93"/>
      <c r="G19" s="5"/>
    </row>
    <row r="20" spans="1:8" x14ac:dyDescent="0.25">
      <c r="A20" s="1"/>
      <c r="B20" s="6" t="s">
        <v>7</v>
      </c>
      <c r="C20" s="91" t="s">
        <v>10</v>
      </c>
      <c r="D20" s="92"/>
      <c r="E20" s="92"/>
      <c r="F20" s="93"/>
      <c r="G20" s="5"/>
    </row>
    <row r="21" spans="1:8" x14ac:dyDescent="0.25">
      <c r="A21" s="1"/>
      <c r="B21" s="6" t="s">
        <v>55</v>
      </c>
      <c r="C21" s="98" t="s">
        <v>12</v>
      </c>
      <c r="D21" s="99"/>
      <c r="E21" s="99"/>
      <c r="F21" s="100"/>
      <c r="G21" s="5"/>
    </row>
    <row r="22" spans="1:8" x14ac:dyDescent="0.25">
      <c r="A22" s="1"/>
      <c r="B22" s="6" t="s">
        <v>39</v>
      </c>
      <c r="C22" s="85" t="s">
        <v>153</v>
      </c>
      <c r="D22" s="86"/>
      <c r="E22" s="86"/>
      <c r="F22" s="87"/>
      <c r="G22" s="5"/>
    </row>
    <row r="23" spans="1:8" x14ac:dyDescent="0.25">
      <c r="A23" s="1"/>
      <c r="B23" s="6" t="s">
        <v>8</v>
      </c>
      <c r="C23" s="85" t="s">
        <v>112</v>
      </c>
      <c r="D23" s="86"/>
      <c r="E23" s="86"/>
      <c r="F23" s="87"/>
      <c r="G23" s="5"/>
    </row>
    <row r="24" spans="1:8" x14ac:dyDescent="0.25">
      <c r="A24" s="1"/>
      <c r="B24" s="6" t="s">
        <v>9</v>
      </c>
      <c r="C24" s="85" t="s">
        <v>154</v>
      </c>
      <c r="D24" s="86"/>
      <c r="E24" s="86"/>
      <c r="F24" s="87"/>
      <c r="G24" s="5"/>
    </row>
    <row r="25" spans="1:8" x14ac:dyDescent="0.25">
      <c r="A25" s="1"/>
      <c r="B25" s="6" t="s">
        <v>97</v>
      </c>
      <c r="C25" s="85" t="s">
        <v>91</v>
      </c>
      <c r="D25" s="86"/>
      <c r="E25" s="86"/>
      <c r="F25" s="87"/>
      <c r="G25" s="1"/>
    </row>
    <row r="26" spans="1:8" x14ac:dyDescent="0.25">
      <c r="A26" s="1"/>
      <c r="B26" s="6" t="s">
        <v>98</v>
      </c>
      <c r="C26" s="85" t="s">
        <v>40</v>
      </c>
      <c r="D26" s="86"/>
      <c r="E26" s="86"/>
      <c r="F26" s="87"/>
      <c r="G26" s="1"/>
    </row>
    <row r="27" spans="1:8" x14ac:dyDescent="0.25">
      <c r="A27" s="1"/>
      <c r="B27" s="6" t="s">
        <v>99</v>
      </c>
      <c r="C27" s="85" t="s">
        <v>41</v>
      </c>
      <c r="D27" s="86"/>
      <c r="E27" s="86"/>
      <c r="F27" s="87"/>
      <c r="G27" s="1"/>
    </row>
    <row r="28" spans="1:8" x14ac:dyDescent="0.25">
      <c r="A28" s="1"/>
      <c r="B28" s="6" t="s">
        <v>15</v>
      </c>
      <c r="C28" s="85" t="s">
        <v>42</v>
      </c>
      <c r="D28" s="86"/>
      <c r="E28" s="86"/>
      <c r="F28" s="87"/>
      <c r="G28" s="1"/>
      <c r="H28" s="2" t="s">
        <v>150</v>
      </c>
    </row>
    <row r="29" spans="1:8" x14ac:dyDescent="0.25">
      <c r="A29" s="1"/>
      <c r="B29" s="6" t="s">
        <v>33</v>
      </c>
      <c r="C29" s="85" t="s">
        <v>68</v>
      </c>
      <c r="D29" s="86"/>
      <c r="E29" s="86"/>
      <c r="F29" s="87"/>
      <c r="G29" s="1"/>
    </row>
    <row r="30" spans="1:8" x14ac:dyDescent="0.25">
      <c r="A30" s="1"/>
      <c r="B30" s="6" t="s">
        <v>34</v>
      </c>
      <c r="C30" s="85" t="s">
        <v>32</v>
      </c>
      <c r="D30" s="86"/>
      <c r="E30" s="86"/>
      <c r="F30" s="87"/>
      <c r="G30" s="1"/>
    </row>
    <row r="31" spans="1:8" x14ac:dyDescent="0.25">
      <c r="A31" s="1"/>
      <c r="B31" s="6" t="s">
        <v>100</v>
      </c>
      <c r="C31" s="88" t="s">
        <v>52</v>
      </c>
      <c r="D31" s="89"/>
      <c r="E31" s="89"/>
      <c r="F31" s="90"/>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2gPwAYzGlS/HXafjyI4Xp5sUO8hcQoHpENSDqNXmD1zYyNHbbko4sOObK9bGeXjI6DaUFWk7R9doG5j6bDcnWw==" saltValue="vL38rUZ0PXHrvEk8iVSF6A==" spinCount="100000" sheet="1" objects="1" scenarios="1"/>
  <mergeCells count="22">
    <mergeCell ref="C14:F14"/>
    <mergeCell ref="C6:F7"/>
    <mergeCell ref="C21:F21"/>
    <mergeCell ref="C22:F22"/>
    <mergeCell ref="C11:F11"/>
    <mergeCell ref="C8:F8"/>
    <mergeCell ref="C15:F15"/>
    <mergeCell ref="C16:F16"/>
    <mergeCell ref="C19:F19"/>
    <mergeCell ref="C13:F13"/>
    <mergeCell ref="C17:F17"/>
    <mergeCell ref="C20:F20"/>
    <mergeCell ref="C30:F30"/>
    <mergeCell ref="C31:F31"/>
    <mergeCell ref="C18:F18"/>
    <mergeCell ref="C25:F25"/>
    <mergeCell ref="C26:F26"/>
    <mergeCell ref="C29:F29"/>
    <mergeCell ref="C27:F27"/>
    <mergeCell ref="C28:F28"/>
    <mergeCell ref="C24:F24"/>
    <mergeCell ref="C23:F23"/>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58</v>
      </c>
      <c r="C3" s="106"/>
      <c r="D3" s="106"/>
      <c r="E3" s="1"/>
    </row>
    <row r="4" spans="1:5" ht="15" customHeight="1" x14ac:dyDescent="0.25">
      <c r="A4" s="1"/>
      <c r="B4" s="106"/>
      <c r="C4" s="106"/>
      <c r="D4" s="106"/>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10" t="s">
        <v>165</v>
      </c>
      <c r="C8" s="111"/>
      <c r="D8" s="112"/>
      <c r="E8" s="1"/>
    </row>
    <row r="9" spans="1:5" ht="15" customHeight="1" x14ac:dyDescent="0.25">
      <c r="A9" s="1"/>
      <c r="B9" s="27" t="s">
        <v>28</v>
      </c>
      <c r="C9" s="67" t="s">
        <v>166</v>
      </c>
      <c r="D9" s="11"/>
      <c r="E9" s="1"/>
    </row>
    <row r="10" spans="1:5" ht="15" customHeight="1" x14ac:dyDescent="0.25">
      <c r="A10" s="1"/>
      <c r="B10" s="71" t="s">
        <v>227</v>
      </c>
      <c r="C10" s="72">
        <v>9991490</v>
      </c>
      <c r="D10" s="14" t="s">
        <v>3</v>
      </c>
      <c r="E10" s="1"/>
    </row>
    <row r="11" spans="1:5" ht="15" customHeight="1" x14ac:dyDescent="0.25">
      <c r="A11" s="1"/>
      <c r="B11" s="71" t="s">
        <v>228</v>
      </c>
      <c r="C11" s="72">
        <v>357409</v>
      </c>
      <c r="D11" s="14" t="s">
        <v>3</v>
      </c>
      <c r="E11" s="1"/>
    </row>
    <row r="12" spans="1:5" ht="25.5" x14ac:dyDescent="0.25">
      <c r="A12" s="1"/>
      <c r="B12" s="71" t="s">
        <v>229</v>
      </c>
      <c r="C12" s="72">
        <v>1957019</v>
      </c>
      <c r="D12" s="14" t="s">
        <v>3</v>
      </c>
      <c r="E12" s="1"/>
    </row>
    <row r="13" spans="1:5" x14ac:dyDescent="0.25">
      <c r="A13" s="1"/>
      <c r="B13" s="71" t="s">
        <v>230</v>
      </c>
      <c r="C13" s="72">
        <v>1718933</v>
      </c>
      <c r="D13" s="14" t="s">
        <v>3</v>
      </c>
      <c r="E13" s="1"/>
    </row>
    <row r="14" spans="1:5" x14ac:dyDescent="0.25">
      <c r="A14" s="1"/>
      <c r="B14" s="71" t="s">
        <v>231</v>
      </c>
      <c r="C14" s="72">
        <v>7531456</v>
      </c>
      <c r="D14" s="14" t="s">
        <v>3</v>
      </c>
      <c r="E14" s="1"/>
    </row>
    <row r="15" spans="1:5" x14ac:dyDescent="0.25">
      <c r="A15" s="1"/>
      <c r="B15" s="71" t="s">
        <v>232</v>
      </c>
      <c r="C15" s="72">
        <v>1865523.3</v>
      </c>
      <c r="D15" s="14" t="s">
        <v>3</v>
      </c>
      <c r="E15" s="1"/>
    </row>
    <row r="16" spans="1:5" x14ac:dyDescent="0.25">
      <c r="A16" s="1"/>
      <c r="B16" s="71" t="s">
        <v>233</v>
      </c>
      <c r="C16" s="72">
        <v>51205</v>
      </c>
      <c r="D16" s="14" t="s">
        <v>3</v>
      </c>
      <c r="E16" s="1"/>
    </row>
    <row r="17" spans="1:5" x14ac:dyDescent="0.25">
      <c r="A17" s="1"/>
      <c r="B17" s="71"/>
      <c r="C17" s="72"/>
      <c r="D17" s="14" t="s">
        <v>3</v>
      </c>
      <c r="E17" s="1"/>
    </row>
    <row r="18" spans="1:5" x14ac:dyDescent="0.25">
      <c r="A18" s="1"/>
      <c r="B18" s="71"/>
      <c r="C18" s="72"/>
      <c r="D18" s="14" t="s">
        <v>3</v>
      </c>
      <c r="E18" s="1"/>
    </row>
    <row r="19" spans="1:5" x14ac:dyDescent="0.25">
      <c r="A19" s="1"/>
      <c r="B19" s="33" t="s">
        <v>167</v>
      </c>
      <c r="C19" s="12">
        <f>SUM(C10:C18)</f>
        <v>23473035.300000001</v>
      </c>
      <c r="D19" s="13" t="s">
        <v>3</v>
      </c>
      <c r="E19" s="1"/>
    </row>
    <row r="20" spans="1:5" x14ac:dyDescent="0.25">
      <c r="A20" s="1"/>
      <c r="B20" s="33" t="s">
        <v>168</v>
      </c>
      <c r="C20" s="12">
        <f>C19*(1+'Fane 15. Nøgletal'!C10)^2</f>
        <v>26688739.967317857</v>
      </c>
      <c r="D20" s="13" t="s">
        <v>3</v>
      </c>
      <c r="E20" s="1"/>
    </row>
    <row r="21" spans="1:5" x14ac:dyDescent="0.25">
      <c r="A21" s="1"/>
      <c r="B21" s="16"/>
      <c r="C21" s="15"/>
      <c r="D21" s="15"/>
      <c r="E21" s="1"/>
    </row>
    <row r="22" spans="1:5" x14ac:dyDescent="0.25">
      <c r="A22" s="1"/>
      <c r="B22" s="16"/>
      <c r="C22" s="15"/>
      <c r="D22" s="15"/>
      <c r="E22" s="1"/>
    </row>
    <row r="23" spans="1:5" x14ac:dyDescent="0.25">
      <c r="A23" s="1"/>
      <c r="B23" s="110" t="s">
        <v>60</v>
      </c>
      <c r="C23" s="111"/>
      <c r="D23" s="112"/>
      <c r="E23" s="1"/>
    </row>
    <row r="24" spans="1:5" x14ac:dyDescent="0.25">
      <c r="A24" s="1"/>
      <c r="B24" s="37" t="s">
        <v>72</v>
      </c>
      <c r="C24" s="9">
        <v>5043871</v>
      </c>
      <c r="D24" s="14" t="s">
        <v>3</v>
      </c>
      <c r="E24" s="1"/>
    </row>
    <row r="25" spans="1:5" x14ac:dyDescent="0.25">
      <c r="A25" s="1"/>
      <c r="B25" s="37" t="s">
        <v>83</v>
      </c>
      <c r="C25" s="9">
        <v>5057831</v>
      </c>
      <c r="D25" s="14" t="s">
        <v>3</v>
      </c>
      <c r="E25" s="1"/>
    </row>
    <row r="26" spans="1:5" x14ac:dyDescent="0.25">
      <c r="A26" s="1"/>
      <c r="B26" s="37" t="s">
        <v>148</v>
      </c>
      <c r="C26" s="9">
        <v>5072022</v>
      </c>
      <c r="D26" s="14" t="s">
        <v>3</v>
      </c>
      <c r="E26" s="1"/>
    </row>
    <row r="27" spans="1:5" x14ac:dyDescent="0.25">
      <c r="A27" s="1"/>
      <c r="B27" s="34" t="s">
        <v>169</v>
      </c>
      <c r="C27" s="9">
        <v>5086446</v>
      </c>
      <c r="D27" s="36" t="s">
        <v>3</v>
      </c>
      <c r="E27" s="1"/>
    </row>
    <row r="28" spans="1:5" x14ac:dyDescent="0.25">
      <c r="A28" s="1"/>
      <c r="B28" s="110"/>
      <c r="C28" s="111"/>
      <c r="D28" s="112"/>
      <c r="E28" s="1"/>
    </row>
    <row r="29" spans="1:5" x14ac:dyDescent="0.25">
      <c r="A29" s="1"/>
      <c r="B29" s="1"/>
      <c r="C29" s="1"/>
      <c r="D29" s="1"/>
      <c r="E29" s="1"/>
    </row>
    <row r="30" spans="1:5" x14ac:dyDescent="0.25">
      <c r="A30" s="1"/>
      <c r="B30" s="1"/>
      <c r="C30" s="1"/>
      <c r="D30" s="1"/>
      <c r="E30" s="1"/>
    </row>
    <row r="31" spans="1:5" x14ac:dyDescent="0.25">
      <c r="A31" s="1"/>
      <c r="B31" s="110" t="s">
        <v>47</v>
      </c>
      <c r="C31" s="111"/>
      <c r="D31" s="112"/>
      <c r="E31" s="1"/>
    </row>
    <row r="32" spans="1:5" x14ac:dyDescent="0.25">
      <c r="A32" s="1"/>
      <c r="B32" s="37" t="s">
        <v>72</v>
      </c>
      <c r="C32" s="9">
        <v>0</v>
      </c>
      <c r="D32" s="14" t="s">
        <v>3</v>
      </c>
      <c r="E32" s="1"/>
    </row>
    <row r="33" spans="1:5" x14ac:dyDescent="0.25">
      <c r="A33" s="1"/>
      <c r="B33" s="37" t="s">
        <v>83</v>
      </c>
      <c r="C33" s="9">
        <v>0</v>
      </c>
      <c r="D33" s="14" t="s">
        <v>3</v>
      </c>
      <c r="E33" s="1"/>
    </row>
    <row r="34" spans="1:5" x14ac:dyDescent="0.25">
      <c r="A34" s="1"/>
      <c r="B34" s="37" t="s">
        <v>148</v>
      </c>
      <c r="C34" s="9">
        <v>0</v>
      </c>
      <c r="D34" s="14" t="s">
        <v>3</v>
      </c>
      <c r="E34" s="1"/>
    </row>
    <row r="35" spans="1:5" x14ac:dyDescent="0.25">
      <c r="A35" s="1"/>
      <c r="B35" s="34" t="s">
        <v>169</v>
      </c>
      <c r="C35" s="9">
        <v>0</v>
      </c>
      <c r="D35" s="36" t="s">
        <v>3</v>
      </c>
      <c r="E35" s="1"/>
    </row>
    <row r="36" spans="1:5" x14ac:dyDescent="0.25">
      <c r="A36" s="1"/>
      <c r="B36" s="110"/>
      <c r="C36" s="111"/>
      <c r="D36" s="112"/>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x14ac:dyDescent="0.25">
      <c r="A56" s="1"/>
      <c r="B56" s="1"/>
      <c r="C56" s="1"/>
      <c r="D56" s="1"/>
      <c r="E56" s="1"/>
    </row>
  </sheetData>
  <sheetProtection algorithmName="SHA-512" hashValue="iZqfsL6SQMycCqFojmCmez4xBd9PzJJGJXCSlGYdfcEpf9zUR8ABjtLi/Y6PGj9Ko8/KLXCXYlkDZdfE5rcmxw==" saltValue="18Nrt1YCbjnLnmpHHnX35A==" spinCount="100000" sheet="1" objects="1" scenarios="1"/>
  <mergeCells count="6">
    <mergeCell ref="B36:D36"/>
    <mergeCell ref="B3:D4"/>
    <mergeCell ref="B8:D8"/>
    <mergeCell ref="B23:D23"/>
    <mergeCell ref="B31:D31"/>
    <mergeCell ref="B28:D28"/>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8" t="s">
        <v>201</v>
      </c>
      <c r="C3" s="108"/>
      <c r="D3" s="108"/>
      <c r="E3" s="1"/>
    </row>
    <row r="4" spans="1:5" ht="15" customHeight="1" x14ac:dyDescent="0.25">
      <c r="A4" s="1"/>
      <c r="B4" s="108"/>
      <c r="C4" s="108"/>
      <c r="D4" s="108"/>
      <c r="E4" s="1"/>
    </row>
    <row r="5" spans="1:5" ht="15" customHeight="1" x14ac:dyDescent="0.25">
      <c r="A5" s="1"/>
      <c r="B5" s="108"/>
      <c r="C5" s="108"/>
      <c r="D5" s="108"/>
      <c r="E5" s="1"/>
    </row>
    <row r="6" spans="1:5" ht="15" customHeight="1" x14ac:dyDescent="0.25">
      <c r="A6" s="1"/>
      <c r="B6" s="76"/>
      <c r="C6" s="76"/>
      <c r="D6" s="76"/>
      <c r="E6" s="1"/>
    </row>
    <row r="7" spans="1:5" x14ac:dyDescent="0.25">
      <c r="A7" s="1"/>
      <c r="B7" s="1"/>
      <c r="C7" s="1"/>
      <c r="D7" s="1"/>
      <c r="E7" s="1"/>
    </row>
    <row r="8" spans="1:5" x14ac:dyDescent="0.25">
      <c r="A8" s="1"/>
      <c r="B8" s="110" t="s">
        <v>77</v>
      </c>
      <c r="C8" s="111"/>
      <c r="D8" s="112"/>
      <c r="E8" s="1"/>
    </row>
    <row r="9" spans="1:5" x14ac:dyDescent="0.25">
      <c r="A9" s="1"/>
      <c r="B9" s="65" t="s">
        <v>204</v>
      </c>
      <c r="C9" s="9">
        <v>-12474533.855078101</v>
      </c>
      <c r="D9" s="14" t="s">
        <v>3</v>
      </c>
      <c r="E9" s="1"/>
    </row>
    <row r="10" spans="1:5" x14ac:dyDescent="0.25">
      <c r="A10" s="1"/>
      <c r="B10" s="33"/>
      <c r="C10" s="28"/>
      <c r="D10" s="19"/>
      <c r="E10" s="1"/>
    </row>
    <row r="11" spans="1:5" ht="53.25" customHeight="1" x14ac:dyDescent="0.25">
      <c r="A11" s="1"/>
      <c r="B11" s="121" t="s">
        <v>212</v>
      </c>
      <c r="C11" s="122"/>
      <c r="D11" s="123"/>
      <c r="E11" s="1"/>
    </row>
    <row r="12" spans="1:5" x14ac:dyDescent="0.25">
      <c r="A12" s="1"/>
      <c r="B12" s="1"/>
      <c r="C12" s="1"/>
      <c r="D12" s="1"/>
      <c r="E12" s="1"/>
    </row>
    <row r="13" spans="1:5" x14ac:dyDescent="0.25">
      <c r="A13" s="1"/>
      <c r="B13" s="110" t="s">
        <v>78</v>
      </c>
      <c r="C13" s="111"/>
      <c r="D13" s="112"/>
      <c r="E13" s="1"/>
    </row>
    <row r="14" spans="1:5" x14ac:dyDescent="0.25">
      <c r="A14" s="1"/>
      <c r="B14" s="65" t="s">
        <v>202</v>
      </c>
      <c r="C14" s="9">
        <v>-23707693.5</v>
      </c>
      <c r="D14" s="14" t="s">
        <v>3</v>
      </c>
      <c r="E14" s="1"/>
    </row>
    <row r="15" spans="1:5" x14ac:dyDescent="0.25">
      <c r="A15" s="1"/>
      <c r="B15" s="65" t="s">
        <v>203</v>
      </c>
      <c r="C15" s="9">
        <v>-23707693.5</v>
      </c>
      <c r="D15" s="14" t="s">
        <v>3</v>
      </c>
      <c r="E15" s="1"/>
    </row>
    <row r="16" spans="1:5" x14ac:dyDescent="0.25">
      <c r="A16" s="1"/>
      <c r="B16" s="33"/>
      <c r="C16" s="28"/>
      <c r="D16" s="19"/>
      <c r="E16" s="1"/>
    </row>
    <row r="17" spans="1:5" ht="29.25" customHeight="1" x14ac:dyDescent="0.25">
      <c r="A17" s="1"/>
      <c r="B17" s="121" t="s">
        <v>121</v>
      </c>
      <c r="C17" s="122"/>
      <c r="D17" s="123"/>
      <c r="E17" s="1"/>
    </row>
    <row r="18" spans="1:5" x14ac:dyDescent="0.25">
      <c r="A18" s="1"/>
      <c r="B18" s="1"/>
      <c r="C18" s="1"/>
      <c r="D18" s="1"/>
      <c r="E18" s="1"/>
    </row>
    <row r="19" spans="1:5" x14ac:dyDescent="0.25">
      <c r="A19" s="1"/>
      <c r="B19" s="77" t="s">
        <v>205</v>
      </c>
      <c r="C19" s="78"/>
      <c r="D19" s="79"/>
      <c r="E19" s="1"/>
    </row>
    <row r="20" spans="1:5" x14ac:dyDescent="0.25">
      <c r="A20" s="1"/>
      <c r="B20" s="65" t="s">
        <v>206</v>
      </c>
      <c r="C20" s="9">
        <v>395185961.52199394</v>
      </c>
      <c r="D20" s="14" t="s">
        <v>3</v>
      </c>
      <c r="E20" s="1"/>
    </row>
    <row r="21" spans="1:5" x14ac:dyDescent="0.25">
      <c r="A21" s="1"/>
      <c r="B21" s="65" t="s">
        <v>207</v>
      </c>
      <c r="C21" s="9">
        <v>397492208</v>
      </c>
      <c r="D21" s="14" t="s">
        <v>3</v>
      </c>
      <c r="E21" s="1"/>
    </row>
    <row r="22" spans="1:5" x14ac:dyDescent="0.25">
      <c r="A22" s="1"/>
      <c r="B22" s="65" t="s">
        <v>29</v>
      </c>
      <c r="C22" s="9">
        <v>0</v>
      </c>
      <c r="D22" s="14" t="s">
        <v>3</v>
      </c>
      <c r="E22" s="1"/>
    </row>
    <row r="23" spans="1:5" x14ac:dyDescent="0.25">
      <c r="A23" s="1"/>
      <c r="B23" s="83" t="s">
        <v>208</v>
      </c>
      <c r="C23" s="57">
        <f>C20-C21-C22</f>
        <v>-2306246.4780060649</v>
      </c>
      <c r="D23" s="17" t="s">
        <v>3</v>
      </c>
      <c r="E23" s="1"/>
    </row>
    <row r="24" spans="1:5" x14ac:dyDescent="0.25">
      <c r="A24" s="1"/>
      <c r="B24" s="33"/>
      <c r="C24" s="28"/>
      <c r="D24" s="19"/>
      <c r="E24" s="1"/>
    </row>
    <row r="25" spans="1:5" x14ac:dyDescent="0.25">
      <c r="A25" s="1"/>
      <c r="B25" s="1"/>
      <c r="C25" s="1"/>
      <c r="D25" s="1"/>
      <c r="E25" s="1"/>
    </row>
    <row r="26" spans="1:5" x14ac:dyDescent="0.25">
      <c r="A26" s="1"/>
      <c r="B26" s="110" t="s">
        <v>209</v>
      </c>
      <c r="C26" s="111"/>
      <c r="D26" s="112"/>
      <c r="E26" s="1"/>
    </row>
    <row r="27" spans="1:5" x14ac:dyDescent="0.25">
      <c r="A27" s="1"/>
      <c r="B27" s="83" t="s">
        <v>210</v>
      </c>
      <c r="C27" s="57">
        <f>IF(AND(C15&lt;0,C23&gt;0,ABS(SUM(C14:C15))&lt;C23),ABS(C14),IF(AND(C15&lt;0,C23&gt;0,ABS(SUM(C14:C15))&gt;C23),SUM(C14,C23),C15))</f>
        <v>-23707693.5</v>
      </c>
      <c r="D27" s="17" t="s">
        <v>3</v>
      </c>
      <c r="E27" s="1"/>
    </row>
    <row r="28" spans="1:5" x14ac:dyDescent="0.25">
      <c r="A28" s="1"/>
      <c r="B28" s="110"/>
      <c r="C28" s="111"/>
      <c r="D28" s="112"/>
      <c r="E28" s="1"/>
    </row>
    <row r="29" spans="1:5" x14ac:dyDescent="0.25">
      <c r="A29" s="1"/>
      <c r="B29" s="1"/>
      <c r="C29" s="1"/>
      <c r="D29" s="1"/>
      <c r="E29" s="1"/>
    </row>
    <row r="30" spans="1:5" x14ac:dyDescent="0.25">
      <c r="A30" s="1"/>
      <c r="B30" s="110" t="s">
        <v>211</v>
      </c>
      <c r="C30" s="111"/>
      <c r="D30" s="112"/>
      <c r="E30" s="1"/>
    </row>
    <row r="31" spans="1:5" x14ac:dyDescent="0.25">
      <c r="A31" s="1"/>
      <c r="B31" s="66" t="s">
        <v>69</v>
      </c>
      <c r="C31" s="58">
        <f>IF(AND(C9&gt;0,(C9+C23)&gt;0),0,IF(AND(C9&gt;0,(C9+C23)&lt;0),(C9+C23),IF(AND(C9&lt;0,C23&lt;0),C23,0)))</f>
        <v>-2306246.4780060649</v>
      </c>
      <c r="D31" s="14" t="s">
        <v>3</v>
      </c>
      <c r="E31" s="1"/>
    </row>
    <row r="32" spans="1:5" x14ac:dyDescent="0.25">
      <c r="A32" s="1"/>
      <c r="B32" s="66" t="s">
        <v>49</v>
      </c>
      <c r="C32" s="9">
        <v>2</v>
      </c>
      <c r="D32" s="14" t="s">
        <v>20</v>
      </c>
      <c r="E32" s="1"/>
    </row>
    <row r="33" spans="1:5" x14ac:dyDescent="0.25">
      <c r="A33" s="1"/>
      <c r="B33" s="67" t="s">
        <v>70</v>
      </c>
      <c r="C33" s="57">
        <f>C31/C32</f>
        <v>-1153123.2390030324</v>
      </c>
      <c r="D33" s="17" t="s">
        <v>3</v>
      </c>
      <c r="E33" s="1"/>
    </row>
    <row r="34" spans="1:5" x14ac:dyDescent="0.25">
      <c r="A34" s="1"/>
      <c r="B34" s="118"/>
      <c r="C34" s="119"/>
      <c r="D34" s="120"/>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V6Ooe1Go98l3JplayrfzZLGVKcgY/4Ju0bD+8DqWrIU42TDcX9XHZsRz+73ZOU1bh1qB1q4MfvCWiD9+D1EN1g==" saltValue="ssVyBOB5g0PA3ir2F/LBJg=="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8" t="s">
        <v>101</v>
      </c>
      <c r="C3" s="108"/>
      <c r="D3" s="108"/>
      <c r="E3" s="1"/>
    </row>
    <row r="4" spans="1:5" ht="15" customHeight="1" x14ac:dyDescent="0.25">
      <c r="A4" s="1"/>
      <c r="B4" s="108"/>
      <c r="C4" s="108"/>
      <c r="D4" s="108"/>
      <c r="E4" s="1"/>
    </row>
    <row r="5" spans="1:5" x14ac:dyDescent="0.25">
      <c r="A5" s="1"/>
      <c r="B5" s="108"/>
      <c r="C5" s="108"/>
      <c r="D5" s="108"/>
      <c r="E5" s="1"/>
    </row>
    <row r="6" spans="1:5" x14ac:dyDescent="0.25">
      <c r="A6" s="1"/>
      <c r="B6" s="1"/>
      <c r="C6" s="1"/>
      <c r="D6" s="1"/>
      <c r="E6" s="1"/>
    </row>
    <row r="7" spans="1:5" x14ac:dyDescent="0.25">
      <c r="A7" s="1"/>
      <c r="B7" s="1"/>
      <c r="C7" s="1"/>
      <c r="D7" s="1"/>
      <c r="E7" s="1"/>
    </row>
    <row r="8" spans="1:5" x14ac:dyDescent="0.25">
      <c r="A8" s="1"/>
      <c r="B8" s="110" t="s">
        <v>120</v>
      </c>
      <c r="C8" s="111"/>
      <c r="D8" s="112"/>
      <c r="E8" s="1"/>
    </row>
    <row r="9" spans="1:5" ht="15" customHeight="1" x14ac:dyDescent="0.25">
      <c r="A9" s="1"/>
      <c r="B9" s="124" t="s">
        <v>102</v>
      </c>
      <c r="C9" s="125"/>
      <c r="D9" s="126"/>
      <c r="E9" s="1"/>
    </row>
    <row r="10" spans="1:5" x14ac:dyDescent="0.25">
      <c r="A10" s="1"/>
      <c r="B10" s="68" t="s">
        <v>103</v>
      </c>
      <c r="C10" s="9"/>
      <c r="D10" s="9" t="s">
        <v>3</v>
      </c>
      <c r="E10" s="1"/>
    </row>
    <row r="11" spans="1:5" x14ac:dyDescent="0.25">
      <c r="A11" s="1"/>
      <c r="B11" s="68" t="s">
        <v>104</v>
      </c>
      <c r="C11" s="9"/>
      <c r="D11" s="9" t="s">
        <v>3</v>
      </c>
      <c r="E11" s="1"/>
    </row>
    <row r="12" spans="1:5" x14ac:dyDescent="0.25">
      <c r="A12" s="1"/>
      <c r="B12" s="68" t="s">
        <v>105</v>
      </c>
      <c r="C12" s="9"/>
      <c r="D12" s="9" t="s">
        <v>3</v>
      </c>
      <c r="E12" s="1"/>
    </row>
    <row r="13" spans="1:5" x14ac:dyDescent="0.25">
      <c r="A13" s="1"/>
      <c r="B13" s="68" t="s">
        <v>106</v>
      </c>
      <c r="C13" s="9"/>
      <c r="D13" s="9" t="s">
        <v>3</v>
      </c>
      <c r="E13" s="1"/>
    </row>
    <row r="14" spans="1:5" x14ac:dyDescent="0.25">
      <c r="A14" s="1"/>
      <c r="B14" s="68" t="s">
        <v>107</v>
      </c>
      <c r="C14" s="9"/>
      <c r="D14" s="9" t="s">
        <v>3</v>
      </c>
      <c r="E14" s="1"/>
    </row>
    <row r="15" spans="1:5" x14ac:dyDescent="0.25">
      <c r="A15" s="1"/>
      <c r="B15" s="68" t="s">
        <v>108</v>
      </c>
      <c r="C15" s="9"/>
      <c r="D15" s="9" t="s">
        <v>3</v>
      </c>
      <c r="E15" s="1"/>
    </row>
    <row r="16" spans="1:5" x14ac:dyDescent="0.25">
      <c r="A16" s="1"/>
      <c r="B16" s="68" t="s">
        <v>109</v>
      </c>
      <c r="C16" s="9"/>
      <c r="D16" s="9" t="s">
        <v>3</v>
      </c>
      <c r="E16" s="1"/>
    </row>
    <row r="17" spans="1:5" x14ac:dyDescent="0.25">
      <c r="A17" s="1"/>
      <c r="B17" s="68" t="s">
        <v>110</v>
      </c>
      <c r="C17" s="9"/>
      <c r="D17" s="9" t="s">
        <v>3</v>
      </c>
      <c r="E17" s="1"/>
    </row>
    <row r="18" spans="1:5" x14ac:dyDescent="0.25">
      <c r="A18" s="1"/>
      <c r="B18" s="77" t="s">
        <v>111</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brzk7Vmn2uHkQ6b2onZEthKyzOXGHoaZ0tRiOtLG5dSEHse6C1eLC9R/2clRyUfLDLhOFtx7bDaqimSqDZg42g==" saltValue="iEwqDeEZpBIZe1+APAd9Xg=="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8" t="s">
        <v>170</v>
      </c>
      <c r="C3" s="108"/>
      <c r="D3" s="108"/>
      <c r="E3" s="1"/>
    </row>
    <row r="4" spans="1:5" ht="15" customHeight="1" x14ac:dyDescent="0.25">
      <c r="A4" s="1"/>
      <c r="B4" s="108"/>
      <c r="C4" s="108"/>
      <c r="D4" s="108"/>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10" t="s">
        <v>171</v>
      </c>
      <c r="C8" s="111"/>
      <c r="D8" s="112"/>
      <c r="E8" s="1"/>
    </row>
    <row r="9" spans="1:5" ht="26.25" x14ac:dyDescent="0.25">
      <c r="A9" s="1"/>
      <c r="B9" s="80" t="s">
        <v>215</v>
      </c>
      <c r="C9" s="7">
        <v>0</v>
      </c>
      <c r="D9" s="8" t="s">
        <v>3</v>
      </c>
      <c r="E9" s="1"/>
    </row>
    <row r="10" spans="1:5" ht="14.25" customHeight="1" x14ac:dyDescent="0.25">
      <c r="A10" s="1"/>
      <c r="B10" s="65" t="s">
        <v>172</v>
      </c>
      <c r="C10" s="7">
        <v>0</v>
      </c>
      <c r="D10" s="8" t="s">
        <v>3</v>
      </c>
      <c r="E10" s="1"/>
    </row>
    <row r="11" spans="1:5" ht="14.25" customHeight="1" x14ac:dyDescent="0.25">
      <c r="A11" s="1"/>
      <c r="B11" s="83" t="s">
        <v>48</v>
      </c>
      <c r="C11" s="10">
        <f>C10-C9</f>
        <v>0</v>
      </c>
      <c r="D11" s="11" t="s">
        <v>3</v>
      </c>
      <c r="E11" s="1"/>
    </row>
    <row r="12" spans="1:5" ht="14.25" customHeight="1" x14ac:dyDescent="0.25">
      <c r="A12" s="1"/>
      <c r="B12" s="110" t="s">
        <v>217</v>
      </c>
      <c r="C12" s="111"/>
      <c r="D12" s="112"/>
      <c r="E12" s="1"/>
    </row>
    <row r="13" spans="1:5" ht="26.25" x14ac:dyDescent="0.25">
      <c r="A13" s="1"/>
      <c r="B13" s="80" t="s">
        <v>216</v>
      </c>
      <c r="C13" s="7">
        <v>5016624</v>
      </c>
      <c r="D13" s="8" t="s">
        <v>3</v>
      </c>
      <c r="E13" s="1"/>
    </row>
    <row r="14" spans="1:5" ht="14.25" customHeight="1" x14ac:dyDescent="0.25">
      <c r="A14" s="1"/>
      <c r="B14" s="65" t="s">
        <v>173</v>
      </c>
      <c r="C14" s="7">
        <v>4178989</v>
      </c>
      <c r="D14" s="8" t="s">
        <v>3</v>
      </c>
      <c r="E14" s="1"/>
    </row>
    <row r="15" spans="1:5" ht="14.25" customHeight="1" x14ac:dyDescent="0.25">
      <c r="A15" s="1"/>
      <c r="B15" s="83" t="s">
        <v>48</v>
      </c>
      <c r="C15" s="10">
        <f>C14-C13</f>
        <v>-837635</v>
      </c>
      <c r="D15" s="11" t="s">
        <v>3</v>
      </c>
      <c r="E15" s="1"/>
    </row>
    <row r="16" spans="1:5" ht="14.25" customHeight="1" x14ac:dyDescent="0.25">
      <c r="A16" s="1"/>
      <c r="B16" s="33" t="s">
        <v>174</v>
      </c>
      <c r="C16" s="12">
        <f>C11+C15</f>
        <v>-837635</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EVPhiJNYCmYswgrAy45Qkuszsf3iNv9hrSnuj2f/9b8mLjrtS9/Q7qPSYyA5XTuJ0l3fIlVjHWTlkXV+GXH1ag==" saltValue="Ixk3qu8mj7lOdNq8yE/LPA=="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6" t="s">
        <v>113</v>
      </c>
      <c r="C3" s="106"/>
      <c r="D3" s="106"/>
      <c r="E3" s="106"/>
      <c r="F3" s="106"/>
      <c r="G3" s="106"/>
      <c r="H3" s="106"/>
      <c r="I3" s="106"/>
      <c r="J3" s="106"/>
      <c r="K3" s="106"/>
      <c r="L3" s="1"/>
    </row>
    <row r="4" spans="1:12" ht="15" customHeight="1" x14ac:dyDescent="0.25">
      <c r="A4" s="1"/>
      <c r="B4" s="106"/>
      <c r="C4" s="106"/>
      <c r="D4" s="106"/>
      <c r="E4" s="106"/>
      <c r="F4" s="106"/>
      <c r="G4" s="106"/>
      <c r="H4" s="106"/>
      <c r="I4" s="106"/>
      <c r="J4" s="106"/>
      <c r="K4" s="106"/>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0" t="s">
        <v>86</v>
      </c>
      <c r="C8" s="111"/>
      <c r="D8" s="111"/>
      <c r="E8" s="111"/>
      <c r="F8" s="111"/>
      <c r="G8" s="111"/>
      <c r="H8" s="111"/>
      <c r="I8" s="111"/>
      <c r="J8" s="111"/>
      <c r="K8" s="112"/>
      <c r="L8" s="1"/>
    </row>
    <row r="9" spans="1:12" ht="39.75" customHeight="1" x14ac:dyDescent="0.25">
      <c r="A9" s="1"/>
      <c r="B9" s="18" t="s">
        <v>0</v>
      </c>
      <c r="C9" s="18" t="s">
        <v>1</v>
      </c>
      <c r="D9" s="127" t="s">
        <v>96</v>
      </c>
      <c r="E9" s="128"/>
      <c r="F9" s="127" t="s">
        <v>2</v>
      </c>
      <c r="G9" s="128"/>
      <c r="H9" s="127" t="s">
        <v>95</v>
      </c>
      <c r="I9" s="128"/>
      <c r="J9" s="127" t="s">
        <v>26</v>
      </c>
      <c r="K9" s="128"/>
      <c r="L9" s="1"/>
    </row>
    <row r="10" spans="1:12" x14ac:dyDescent="0.25">
      <c r="A10" s="1"/>
      <c r="B10" s="68" t="s">
        <v>222</v>
      </c>
      <c r="C10" s="42">
        <v>0</v>
      </c>
      <c r="D10" s="9">
        <v>0</v>
      </c>
      <c r="E10" s="14" t="s">
        <v>3</v>
      </c>
      <c r="F10" s="9">
        <f>IFERROR(D10/C10,0)</f>
        <v>0</v>
      </c>
      <c r="G10" s="14" t="s">
        <v>3</v>
      </c>
      <c r="H10" s="38">
        <v>0</v>
      </c>
      <c r="I10" s="14" t="s">
        <v>3</v>
      </c>
      <c r="J10" s="38">
        <v>0</v>
      </c>
      <c r="K10" s="14" t="s">
        <v>3</v>
      </c>
      <c r="L10" s="1"/>
    </row>
    <row r="11" spans="1:12" x14ac:dyDescent="0.25">
      <c r="A11" s="1"/>
      <c r="B11" s="77" t="s">
        <v>219</v>
      </c>
      <c r="C11" s="78"/>
      <c r="D11" s="79"/>
      <c r="E11" s="79"/>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1j/dZjpW7KiFtZ3CmLQ+9QqEla0GLBVsUauDYdKdixljX1CsAZyXxHG9i3wwsPYfwrmz7RTqxv9mSuvq5kQaww==" saltValue="Mu9pIgTKlDGLeDXGobxqG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114</v>
      </c>
      <c r="C3" s="106"/>
      <c r="D3" s="106"/>
      <c r="E3" s="106"/>
      <c r="F3" s="106"/>
      <c r="G3" s="1"/>
    </row>
    <row r="4" spans="1:7" ht="1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81" t="s">
        <v>17</v>
      </c>
      <c r="C9" s="83" t="s">
        <v>11</v>
      </c>
      <c r="D9" s="82"/>
      <c r="E9" s="83"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t="s">
        <v>234</v>
      </c>
      <c r="C11" s="73">
        <v>36915</v>
      </c>
      <c r="D11" s="74" t="s">
        <v>3</v>
      </c>
      <c r="E11" s="38">
        <v>1885971</v>
      </c>
      <c r="F11" s="14" t="s">
        <v>3</v>
      </c>
      <c r="G11" s="1"/>
    </row>
    <row r="12" spans="1:7" x14ac:dyDescent="0.25">
      <c r="A12" s="1"/>
      <c r="B12" s="24" t="s">
        <v>235</v>
      </c>
      <c r="C12" s="73">
        <v>0</v>
      </c>
      <c r="D12" s="74" t="s">
        <v>3</v>
      </c>
      <c r="E12" s="38">
        <v>344585.7</v>
      </c>
      <c r="F12" s="14" t="s">
        <v>3</v>
      </c>
      <c r="G12" s="1"/>
    </row>
    <row r="13" spans="1:7" x14ac:dyDescent="0.25">
      <c r="A13" s="1"/>
      <c r="B13" s="24" t="s">
        <v>236</v>
      </c>
      <c r="C13" s="73">
        <v>0</v>
      </c>
      <c r="D13" s="74" t="s">
        <v>3</v>
      </c>
      <c r="E13" s="38">
        <v>8611.9500000000007</v>
      </c>
      <c r="F13" s="14" t="s">
        <v>3</v>
      </c>
      <c r="G13" s="1"/>
    </row>
    <row r="14" spans="1:7" x14ac:dyDescent="0.25">
      <c r="A14" s="1"/>
      <c r="B14" s="24" t="s">
        <v>237</v>
      </c>
      <c r="C14" s="73">
        <v>2429250</v>
      </c>
      <c r="D14" s="74" t="s">
        <v>3</v>
      </c>
      <c r="E14" s="38">
        <v>343424</v>
      </c>
      <c r="F14" s="14" t="s">
        <v>3</v>
      </c>
      <c r="G14" s="1"/>
    </row>
    <row r="15" spans="1:7" ht="26.25" x14ac:dyDescent="0.25">
      <c r="A15" s="1"/>
      <c r="B15" s="132" t="s">
        <v>239</v>
      </c>
      <c r="C15" s="21">
        <v>790275</v>
      </c>
      <c r="D15" s="14" t="s">
        <v>3</v>
      </c>
      <c r="E15" s="9">
        <v>0</v>
      </c>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139</v>
      </c>
      <c r="C19" s="12">
        <f>SUM(C10:C18)</f>
        <v>3256440</v>
      </c>
      <c r="D19" s="13" t="s">
        <v>3</v>
      </c>
      <c r="E19" s="12">
        <f>SUM(E10:E18)</f>
        <v>2582592.6500000004</v>
      </c>
      <c r="F19" s="13" t="s">
        <v>3</v>
      </c>
      <c r="G19" s="1"/>
    </row>
    <row r="20" spans="1:7" x14ac:dyDescent="0.25">
      <c r="A20" s="1"/>
      <c r="B20" s="33" t="s">
        <v>175</v>
      </c>
      <c r="C20" s="12">
        <f>C19*(1+'Fane 15. Nøgletal'!C10)</f>
        <v>3472341.9720000001</v>
      </c>
      <c r="D20" s="13" t="s">
        <v>3</v>
      </c>
      <c r="E20" s="12">
        <f>E19*(1+'Fane 15. Nøgletal'!C10)</f>
        <v>2753818.5426950003</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TWFsKVVgrunjbD4Yb4yt+i7vmMs2AZz5BtH08stJyKYqbov7muTMwYhDjFdYf5b1p2Drlp4nF7hCGpvPmbdqgQ==" saltValue="7rbRDKYXRCzGa6wgYPgPf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3"/>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115</v>
      </c>
      <c r="C3" s="106"/>
      <c r="D3" s="106"/>
      <c r="E3" s="106"/>
      <c r="F3" s="106"/>
      <c r="G3" s="1"/>
    </row>
    <row r="4" spans="1:7" ht="1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0" t="s">
        <v>176</v>
      </c>
      <c r="C8" s="111"/>
      <c r="D8" s="111"/>
      <c r="E8" s="111"/>
      <c r="F8" s="112"/>
      <c r="G8" s="1"/>
    </row>
    <row r="9" spans="1:7" x14ac:dyDescent="0.25">
      <c r="A9" s="1"/>
      <c r="B9" s="81" t="s">
        <v>17</v>
      </c>
      <c r="C9" s="83" t="s">
        <v>11</v>
      </c>
      <c r="D9" s="82"/>
      <c r="E9" s="83" t="s">
        <v>27</v>
      </c>
      <c r="F9" s="32"/>
      <c r="G9" s="1"/>
    </row>
    <row r="10" spans="1:7" x14ac:dyDescent="0.25">
      <c r="A10" s="1"/>
      <c r="B10" s="24" t="s">
        <v>234</v>
      </c>
      <c r="C10" s="73">
        <v>0</v>
      </c>
      <c r="D10" s="74" t="s">
        <v>3</v>
      </c>
      <c r="E10" s="38">
        <v>1819820</v>
      </c>
      <c r="F10" s="14" t="s">
        <v>3</v>
      </c>
      <c r="G10" s="1"/>
    </row>
    <row r="11" spans="1:7" x14ac:dyDescent="0.25">
      <c r="A11" s="1"/>
      <c r="B11" s="24" t="s">
        <v>238</v>
      </c>
      <c r="C11" s="73">
        <v>1487317.84</v>
      </c>
      <c r="D11" s="74" t="s">
        <v>3</v>
      </c>
      <c r="E11" s="38">
        <v>0</v>
      </c>
      <c r="F11" s="14" t="s">
        <v>3</v>
      </c>
      <c r="G11" s="1"/>
    </row>
    <row r="12" spans="1:7" x14ac:dyDescent="0.25">
      <c r="A12" s="1"/>
      <c r="B12" s="24" t="s">
        <v>235</v>
      </c>
      <c r="C12" s="73">
        <v>0</v>
      </c>
      <c r="D12" s="74" t="s">
        <v>3</v>
      </c>
      <c r="E12" s="38">
        <v>29545.1</v>
      </c>
      <c r="F12" s="14" t="s">
        <v>3</v>
      </c>
      <c r="G12" s="1"/>
    </row>
    <row r="13" spans="1:7" x14ac:dyDescent="0.25">
      <c r="A13" s="1"/>
      <c r="B13" s="24" t="s">
        <v>236</v>
      </c>
      <c r="C13" s="73">
        <v>0</v>
      </c>
      <c r="D13" s="74" t="s">
        <v>3</v>
      </c>
      <c r="E13" s="38">
        <v>4699.75</v>
      </c>
      <c r="F13" s="14" t="s">
        <v>3</v>
      </c>
      <c r="G13" s="1"/>
    </row>
    <row r="14" spans="1:7" x14ac:dyDescent="0.25">
      <c r="A14" s="1"/>
      <c r="B14" s="24" t="s">
        <v>237</v>
      </c>
      <c r="C14" s="73">
        <v>0</v>
      </c>
      <c r="D14" s="74" t="s">
        <v>3</v>
      </c>
      <c r="E14" s="38">
        <v>347271</v>
      </c>
      <c r="F14" s="14" t="s">
        <v>3</v>
      </c>
      <c r="G14" s="1"/>
    </row>
    <row r="15" spans="1:7" ht="26.25" x14ac:dyDescent="0.25">
      <c r="A15" s="1"/>
      <c r="B15" s="132" t="s">
        <v>239</v>
      </c>
      <c r="C15" s="21">
        <v>11854120</v>
      </c>
      <c r="D15" s="14" t="s">
        <v>3</v>
      </c>
      <c r="E15" s="9">
        <v>0</v>
      </c>
      <c r="F15" s="14" t="s">
        <v>3</v>
      </c>
      <c r="G15" s="1"/>
    </row>
    <row r="16" spans="1:7" x14ac:dyDescent="0.25">
      <c r="A16" s="1"/>
      <c r="B16" s="24"/>
      <c r="C16" s="21"/>
      <c r="D16" s="14" t="s">
        <v>3</v>
      </c>
      <c r="E16" s="9"/>
      <c r="F16" s="14" t="s">
        <v>3</v>
      </c>
      <c r="G16" s="1"/>
    </row>
    <row r="17" spans="1:7" x14ac:dyDescent="0.25">
      <c r="A17" s="1"/>
      <c r="B17" s="33" t="s">
        <v>177</v>
      </c>
      <c r="C17" s="12">
        <f>SUM(C10:C16)</f>
        <v>13341437.84</v>
      </c>
      <c r="D17" s="13" t="s">
        <v>3</v>
      </c>
      <c r="E17" s="12">
        <f>SUM(E10:E16)</f>
        <v>2201335.85</v>
      </c>
      <c r="F17" s="13" t="s">
        <v>3</v>
      </c>
      <c r="G17" s="1"/>
    </row>
    <row r="18" spans="1:7" x14ac:dyDescent="0.25">
      <c r="A18" s="1"/>
      <c r="B18" s="33" t="s">
        <v>178</v>
      </c>
      <c r="C18" s="12">
        <f>C17*(1+'Fane 15. Nøgletal'!C10)^2</f>
        <v>15169157.32248291</v>
      </c>
      <c r="D18" s="13" t="s">
        <v>3</v>
      </c>
      <c r="E18" s="12">
        <f>E17*(1+'Fane 15. Nøgletal'!C10)^2</f>
        <v>2502909.3736924864</v>
      </c>
      <c r="F18" s="13" t="s">
        <v>3</v>
      </c>
      <c r="G18" s="1"/>
    </row>
    <row r="19" spans="1:7" x14ac:dyDescent="0.25">
      <c r="A19" s="1"/>
      <c r="B19" s="1"/>
      <c r="C19" s="1"/>
      <c r="D19" s="1"/>
      <c r="E19" s="1"/>
      <c r="F19" s="1"/>
      <c r="G19" s="1"/>
    </row>
    <row r="20" spans="1:7" x14ac:dyDescent="0.25">
      <c r="A20" s="1"/>
      <c r="B20" s="129"/>
      <c r="C20" s="129"/>
      <c r="D20" s="129"/>
      <c r="E20" s="129"/>
      <c r="F20" s="129"/>
      <c r="G20" s="1"/>
    </row>
    <row r="21" spans="1:7" x14ac:dyDescent="0.25">
      <c r="A21" s="1"/>
      <c r="B21" s="47"/>
      <c r="C21" s="47"/>
      <c r="D21" s="47"/>
      <c r="E21" s="47"/>
      <c r="F21" s="48"/>
      <c r="G21" s="1"/>
    </row>
    <row r="22" spans="1:7" x14ac:dyDescent="0.25">
      <c r="A22" s="1"/>
      <c r="B22" s="49"/>
      <c r="C22" s="50"/>
      <c r="D22" s="51"/>
      <c r="E22" s="52"/>
      <c r="F22" s="51"/>
      <c r="G22" s="1"/>
    </row>
    <row r="23" spans="1:7" x14ac:dyDescent="0.25">
      <c r="A23" s="1"/>
      <c r="B23" s="49"/>
      <c r="C23" s="50"/>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47"/>
      <c r="C27" s="47"/>
      <c r="D27" s="47"/>
      <c r="E27" s="47"/>
      <c r="F27" s="48"/>
      <c r="G27" s="1"/>
    </row>
    <row r="28" spans="1:7" x14ac:dyDescent="0.25">
      <c r="A28" s="1"/>
      <c r="B28" s="49"/>
      <c r="C28" s="50"/>
      <c r="D28" s="51"/>
      <c r="E28" s="52"/>
      <c r="F28" s="51"/>
      <c r="G28" s="1"/>
    </row>
    <row r="29" spans="1:7" x14ac:dyDescent="0.25">
      <c r="A29" s="1"/>
      <c r="B29" s="49"/>
      <c r="C29" s="50"/>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46"/>
      <c r="C32" s="46"/>
      <c r="D32" s="46"/>
      <c r="E32" s="46"/>
      <c r="F32" s="46"/>
      <c r="G32" s="1"/>
    </row>
    <row r="33" spans="1:7" x14ac:dyDescent="0.25">
      <c r="A33" s="1"/>
      <c r="B33" s="129"/>
      <c r="C33" s="129"/>
      <c r="D33" s="129"/>
      <c r="E33" s="129"/>
      <c r="F33" s="129"/>
      <c r="G33" s="1"/>
    </row>
    <row r="34" spans="1:7" x14ac:dyDescent="0.25">
      <c r="A34" s="1"/>
      <c r="B34" s="47"/>
      <c r="C34" s="47"/>
      <c r="D34" s="47"/>
      <c r="E34" s="47"/>
      <c r="F34" s="48"/>
      <c r="G34" s="1"/>
    </row>
    <row r="35" spans="1:7" x14ac:dyDescent="0.25">
      <c r="A35" s="1"/>
      <c r="B35" s="49"/>
      <c r="C35" s="50"/>
      <c r="D35" s="51"/>
      <c r="E35" s="52"/>
      <c r="F35" s="51"/>
      <c r="G35" s="1"/>
    </row>
    <row r="36" spans="1:7" x14ac:dyDescent="0.25">
      <c r="A36" s="1"/>
      <c r="B36" s="49"/>
      <c r="C36" s="50"/>
      <c r="D36" s="51"/>
      <c r="E36" s="52"/>
      <c r="F36" s="51"/>
      <c r="G36" s="1"/>
    </row>
    <row r="37" spans="1:7" x14ac:dyDescent="0.25">
      <c r="A37" s="1"/>
      <c r="B37" s="53"/>
      <c r="C37" s="54"/>
      <c r="D37" s="55"/>
      <c r="E37" s="54"/>
      <c r="F37" s="55"/>
      <c r="G37" s="1"/>
    </row>
    <row r="38" spans="1:7" x14ac:dyDescent="0.25">
      <c r="A38" s="1"/>
      <c r="B38" s="53"/>
      <c r="C38" s="54"/>
      <c r="D38" s="55"/>
      <c r="E38" s="54"/>
      <c r="F38" s="55"/>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row r="52" spans="1:7" x14ac:dyDescent="0.25">
      <c r="A52" s="1"/>
      <c r="B52" s="1"/>
      <c r="C52" s="1"/>
      <c r="D52" s="1"/>
      <c r="E52" s="1"/>
      <c r="F52" s="1"/>
      <c r="G52" s="1"/>
    </row>
    <row r="53" spans="1:7" x14ac:dyDescent="0.25">
      <c r="A53" s="1"/>
      <c r="B53" s="1"/>
      <c r="C53" s="1"/>
      <c r="D53" s="1"/>
      <c r="E53" s="1"/>
      <c r="F53" s="1"/>
      <c r="G53" s="1"/>
    </row>
  </sheetData>
  <sheetProtection algorithmName="SHA-512" hashValue="zze2oKQq/989w7xl4aUAeB6vLoDxhtCodKE5/tR517a5hk82DMxHNXqjP96WinUbVM3KByzIjmzh7/4r0reciw==" saltValue="R6PZQE7DdNbkIMXW0Am1vA==" spinCount="100000" sheet="1" objects="1" scenarios="1"/>
  <mergeCells count="4">
    <mergeCell ref="B33:F33"/>
    <mergeCell ref="B3:F4"/>
    <mergeCell ref="B8:F8"/>
    <mergeCell ref="B20:F20"/>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8" t="s">
        <v>116</v>
      </c>
      <c r="C3" s="108"/>
      <c r="D3" s="108"/>
      <c r="E3" s="1"/>
    </row>
    <row r="4" spans="1:5" ht="15" customHeight="1" x14ac:dyDescent="0.25">
      <c r="A4" s="1"/>
      <c r="B4" s="108"/>
      <c r="C4" s="108"/>
      <c r="D4" s="108"/>
      <c r="E4" s="1"/>
    </row>
    <row r="5" spans="1:5" x14ac:dyDescent="0.25">
      <c r="A5" s="1"/>
      <c r="B5" s="108"/>
      <c r="C5" s="108"/>
      <c r="D5" s="108"/>
      <c r="E5" s="1"/>
    </row>
    <row r="6" spans="1:5" x14ac:dyDescent="0.25">
      <c r="A6" s="1"/>
      <c r="B6" s="1"/>
      <c r="C6" s="1"/>
      <c r="D6" s="1"/>
      <c r="E6" s="1"/>
    </row>
    <row r="7" spans="1:5" x14ac:dyDescent="0.25">
      <c r="A7" s="1"/>
      <c r="B7" s="1"/>
      <c r="C7" s="1"/>
      <c r="D7" s="1"/>
      <c r="E7" s="1"/>
    </row>
    <row r="8" spans="1:5" ht="14.25" customHeight="1" x14ac:dyDescent="0.25">
      <c r="A8" s="1"/>
      <c r="B8" s="110" t="s">
        <v>73</v>
      </c>
      <c r="C8" s="111"/>
      <c r="D8" s="112"/>
      <c r="E8" s="1"/>
    </row>
    <row r="9" spans="1:5" x14ac:dyDescent="0.25">
      <c r="A9" s="1"/>
      <c r="B9" s="68" t="s">
        <v>179</v>
      </c>
      <c r="C9" s="9">
        <v>0</v>
      </c>
      <c r="D9" s="14" t="s">
        <v>3</v>
      </c>
      <c r="E9" s="1"/>
    </row>
    <row r="10" spans="1:5" x14ac:dyDescent="0.25">
      <c r="A10" s="1"/>
      <c r="B10" s="64" t="s">
        <v>10</v>
      </c>
      <c r="C10" s="9">
        <f>-C9*'Fane 5. Individuelt eff. krav'!C9</f>
        <v>0</v>
      </c>
      <c r="D10" s="14" t="s">
        <v>3</v>
      </c>
      <c r="E10" s="1"/>
    </row>
    <row r="11" spans="1:5" x14ac:dyDescent="0.25">
      <c r="A11" s="1"/>
      <c r="B11" s="64" t="s">
        <v>22</v>
      </c>
      <c r="C11" s="9">
        <f>-C9*'Fane 15. Nøgletal'!C21</f>
        <v>0</v>
      </c>
      <c r="D11" s="14" t="s">
        <v>3</v>
      </c>
      <c r="E11" s="1"/>
    </row>
    <row r="12" spans="1:5" x14ac:dyDescent="0.25">
      <c r="A12" s="1"/>
      <c r="B12" s="77" t="s">
        <v>74</v>
      </c>
      <c r="C12" s="12">
        <f>SUM(C9:C11)*(1+'Fane 15. Nøgletal'!C9)^2</f>
        <v>0</v>
      </c>
      <c r="D12" s="13" t="s">
        <v>3</v>
      </c>
      <c r="E12" s="1"/>
    </row>
    <row r="13" spans="1:5" x14ac:dyDescent="0.25">
      <c r="A13" s="1"/>
      <c r="B13" s="1"/>
      <c r="C13" s="1"/>
      <c r="D13" s="1"/>
      <c r="E13" s="1"/>
    </row>
    <row r="14" spans="1:5" ht="15" customHeight="1" x14ac:dyDescent="0.25">
      <c r="A14" s="1"/>
      <c r="B14" s="110" t="s">
        <v>84</v>
      </c>
      <c r="C14" s="111"/>
      <c r="D14" s="112"/>
      <c r="E14" s="1"/>
    </row>
    <row r="15" spans="1:5" x14ac:dyDescent="0.25">
      <c r="A15" s="1"/>
      <c r="B15" s="68" t="s">
        <v>179</v>
      </c>
      <c r="C15" s="9">
        <v>0</v>
      </c>
      <c r="D15" s="14" t="s">
        <v>3</v>
      </c>
      <c r="E15" s="1"/>
    </row>
    <row r="16" spans="1:5" x14ac:dyDescent="0.25">
      <c r="A16" s="1"/>
      <c r="B16" s="64" t="s">
        <v>10</v>
      </c>
      <c r="C16" s="9">
        <f>-C15*'Fane 5. Individuelt eff. krav'!C9</f>
        <v>0</v>
      </c>
      <c r="D16" s="14" t="s">
        <v>3</v>
      </c>
      <c r="E16" s="1"/>
    </row>
    <row r="17" spans="1:5" x14ac:dyDescent="0.25">
      <c r="A17" s="1"/>
      <c r="B17" s="64" t="s">
        <v>22</v>
      </c>
      <c r="C17" s="9">
        <f>-C15*'Fane 15. Nøgletal'!C21</f>
        <v>0</v>
      </c>
      <c r="D17" s="14" t="s">
        <v>3</v>
      </c>
      <c r="E17" s="1"/>
    </row>
    <row r="18" spans="1:5" x14ac:dyDescent="0.25">
      <c r="A18" s="1"/>
      <c r="B18" s="77" t="s">
        <v>85</v>
      </c>
      <c r="C18" s="12">
        <f>SUM(C15:C17)*(1+'Fane 15. Nøgletal'!C10)^3</f>
        <v>0</v>
      </c>
      <c r="D18" s="13" t="s">
        <v>3</v>
      </c>
      <c r="E18" s="1"/>
    </row>
    <row r="19" spans="1:5" x14ac:dyDescent="0.25">
      <c r="A19" s="1"/>
      <c r="B19" s="1"/>
      <c r="C19" s="1"/>
      <c r="D19" s="1"/>
      <c r="E19" s="1"/>
    </row>
    <row r="20" spans="1:5" ht="15" customHeight="1" x14ac:dyDescent="0.25">
      <c r="A20" s="1"/>
      <c r="B20" s="110" t="s">
        <v>140</v>
      </c>
      <c r="C20" s="111"/>
      <c r="D20" s="112"/>
      <c r="E20" s="1"/>
    </row>
    <row r="21" spans="1:5" x14ac:dyDescent="0.25">
      <c r="A21" s="1"/>
      <c r="B21" s="68" t="s">
        <v>179</v>
      </c>
      <c r="C21" s="9">
        <v>0</v>
      </c>
      <c r="D21" s="14" t="s">
        <v>3</v>
      </c>
      <c r="E21" s="1"/>
    </row>
    <row r="22" spans="1:5" x14ac:dyDescent="0.25">
      <c r="A22" s="1"/>
      <c r="B22" s="64" t="s">
        <v>10</v>
      </c>
      <c r="C22" s="9">
        <f>-C21*'Fane 5. Individuelt eff. krav'!C9</f>
        <v>0</v>
      </c>
      <c r="D22" s="14" t="s">
        <v>3</v>
      </c>
      <c r="E22" s="1"/>
    </row>
    <row r="23" spans="1:5" x14ac:dyDescent="0.25">
      <c r="A23" s="1"/>
      <c r="B23" s="64" t="s">
        <v>22</v>
      </c>
      <c r="C23" s="9">
        <f>-C21*'Fane 15. Nøgletal'!C21</f>
        <v>0</v>
      </c>
      <c r="D23" s="14" t="s">
        <v>3</v>
      </c>
      <c r="E23" s="1"/>
    </row>
    <row r="24" spans="1:5" x14ac:dyDescent="0.25">
      <c r="A24" s="1"/>
      <c r="B24" s="77" t="s">
        <v>141</v>
      </c>
      <c r="C24" s="12">
        <f>SUM(C21:C23)*(1+'Fane 15. Nøgletal'!C10)^4</f>
        <v>0</v>
      </c>
      <c r="D24" s="13" t="s">
        <v>3</v>
      </c>
      <c r="E24" s="1"/>
    </row>
    <row r="25" spans="1:5" x14ac:dyDescent="0.25">
      <c r="A25" s="1"/>
      <c r="B25" s="1"/>
      <c r="C25" s="1"/>
      <c r="D25" s="1"/>
      <c r="E25" s="1"/>
    </row>
    <row r="26" spans="1:5" ht="15" customHeight="1" x14ac:dyDescent="0.25">
      <c r="A26" s="1"/>
      <c r="B26" s="110" t="s">
        <v>180</v>
      </c>
      <c r="C26" s="111"/>
      <c r="D26" s="112"/>
      <c r="E26" s="1"/>
    </row>
    <row r="27" spans="1:5" ht="14.25" customHeight="1" x14ac:dyDescent="0.25">
      <c r="A27" s="1"/>
      <c r="B27" s="68" t="s">
        <v>179</v>
      </c>
      <c r="C27" s="9">
        <v>0</v>
      </c>
      <c r="D27" s="14" t="s">
        <v>3</v>
      </c>
      <c r="E27" s="1"/>
    </row>
    <row r="28" spans="1:5" x14ac:dyDescent="0.25">
      <c r="A28" s="1"/>
      <c r="B28" s="64" t="s">
        <v>10</v>
      </c>
      <c r="C28" s="9">
        <f>-C27*'Fane 5. Individuelt eff. krav'!C9</f>
        <v>0</v>
      </c>
      <c r="D28" s="14" t="s">
        <v>3</v>
      </c>
      <c r="E28" s="1"/>
    </row>
    <row r="29" spans="1:5" x14ac:dyDescent="0.25">
      <c r="A29" s="1"/>
      <c r="B29" s="64" t="s">
        <v>22</v>
      </c>
      <c r="C29" s="9">
        <f>-C27*'Fane 15. Nøgletal'!C21</f>
        <v>0</v>
      </c>
      <c r="D29" s="14" t="s">
        <v>3</v>
      </c>
      <c r="E29" s="1"/>
    </row>
    <row r="30" spans="1:5" x14ac:dyDescent="0.25">
      <c r="A30" s="1"/>
      <c r="B30" s="77" t="s">
        <v>181</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Rb9mhdeg02Fqx/jCZgF/0MHy8treL99ARy6IbK6cZqqauzl5JOxLxGlq36Cra231YtlAdHXwwNXdJZVIDIAPew==" saltValue="SlBl0F/6IO6EV6w4U4ijeg=="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117</v>
      </c>
      <c r="C3" s="108"/>
      <c r="D3" s="108"/>
      <c r="E3" s="108"/>
      <c r="F3" s="108"/>
      <c r="G3" s="1"/>
    </row>
    <row r="4" spans="1:7" ht="15" customHeight="1" x14ac:dyDescent="0.25">
      <c r="A4" s="1"/>
      <c r="B4" s="108"/>
      <c r="C4" s="108"/>
      <c r="D4" s="108"/>
      <c r="E4" s="108"/>
      <c r="F4" s="108"/>
      <c r="G4" s="1"/>
    </row>
    <row r="5" spans="1:7" x14ac:dyDescent="0.25">
      <c r="A5" s="1"/>
      <c r="B5" s="108"/>
      <c r="C5" s="108"/>
      <c r="D5" s="108"/>
      <c r="E5" s="108"/>
      <c r="F5" s="108"/>
      <c r="G5" s="1"/>
    </row>
    <row r="6" spans="1:7" x14ac:dyDescent="0.25">
      <c r="A6" s="1"/>
      <c r="B6" s="1"/>
      <c r="C6" s="1"/>
      <c r="D6" s="1"/>
      <c r="E6" s="1"/>
      <c r="F6" s="1"/>
      <c r="G6" s="1"/>
    </row>
    <row r="7" spans="1:7" x14ac:dyDescent="0.25">
      <c r="A7" s="1"/>
      <c r="B7" s="1"/>
      <c r="C7" s="1"/>
      <c r="D7" s="1"/>
      <c r="E7" s="1"/>
      <c r="F7" s="1"/>
      <c r="G7" s="1"/>
    </row>
    <row r="8" spans="1:7" x14ac:dyDescent="0.25">
      <c r="A8" s="1"/>
      <c r="B8" s="110" t="s">
        <v>66</v>
      </c>
      <c r="C8" s="111"/>
      <c r="D8" s="111"/>
      <c r="E8" s="111"/>
      <c r="F8" s="112"/>
      <c r="G8" s="1"/>
    </row>
    <row r="9" spans="1:7" ht="15" customHeight="1" x14ac:dyDescent="0.25">
      <c r="A9" s="1"/>
      <c r="B9" s="31" t="s">
        <v>67</v>
      </c>
      <c r="C9" s="27" t="s">
        <v>11</v>
      </c>
      <c r="D9" s="32"/>
      <c r="E9" s="27" t="s">
        <v>27</v>
      </c>
      <c r="F9" s="32"/>
      <c r="G9" s="1"/>
    </row>
    <row r="10" spans="1:7" ht="26.25" x14ac:dyDescent="0.25">
      <c r="A10" s="1"/>
      <c r="B10" s="70" t="s">
        <v>220</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z37lPKw2i8mhuP4buz7ziikFmPnGVk3KNNlowzFMqeq81yh8wqKkrIgySA5iv2gRFZmFw5UB2lt2ud0MN+NQ5w==" saltValue="eieZtUU//8e242k8IVBnzg=="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118</v>
      </c>
      <c r="C3" s="108"/>
      <c r="D3" s="108"/>
      <c r="E3" s="108"/>
      <c r="F3" s="108"/>
      <c r="G3" s="1"/>
    </row>
    <row r="4" spans="1:7" ht="15" customHeight="1" x14ac:dyDescent="0.25">
      <c r="A4" s="1"/>
      <c r="B4" s="108"/>
      <c r="C4" s="108"/>
      <c r="D4" s="108"/>
      <c r="E4" s="108"/>
      <c r="F4" s="108"/>
      <c r="G4" s="1"/>
    </row>
    <row r="5" spans="1:7" x14ac:dyDescent="0.25">
      <c r="A5" s="1"/>
      <c r="B5" s="108"/>
      <c r="C5" s="108"/>
      <c r="D5" s="108"/>
      <c r="E5" s="108"/>
      <c r="F5" s="108"/>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10" t="s">
        <v>183</v>
      </c>
      <c r="C8" s="111"/>
      <c r="D8" s="111"/>
      <c r="E8" s="111"/>
      <c r="F8" s="112"/>
      <c r="G8" s="1"/>
    </row>
    <row r="9" spans="1:7" x14ac:dyDescent="0.25">
      <c r="A9" s="1"/>
      <c r="B9" s="31" t="s">
        <v>18</v>
      </c>
      <c r="C9" s="130" t="s">
        <v>11</v>
      </c>
      <c r="D9" s="131"/>
      <c r="E9" s="130" t="s">
        <v>27</v>
      </c>
      <c r="F9" s="131"/>
      <c r="G9" s="1"/>
    </row>
    <row r="10" spans="1:7" x14ac:dyDescent="0.25">
      <c r="A10" s="1"/>
      <c r="B10" s="70" t="s">
        <v>221</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214</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9"/>
      <c r="C14" s="129"/>
      <c r="D14" s="129"/>
      <c r="E14" s="129"/>
      <c r="F14" s="129"/>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9"/>
      <c r="C21" s="129"/>
      <c r="D21" s="129"/>
      <c r="E21" s="129"/>
      <c r="F21" s="129"/>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9"/>
      <c r="C27" s="129"/>
      <c r="D27" s="129"/>
      <c r="E27" s="129"/>
      <c r="F27" s="129"/>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0t2IIzr22WCAzxSRsPLGIw+eo4n4TsZg6p5DaiCA5EFLDu56NDTiPJsGKK6xB0O+u0r+08uFfNjDwMYp8W5RBA==" saltValue="4JkLwYyiaC0Mnm3YXqufGA=="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155</v>
      </c>
      <c r="C3" s="106"/>
      <c r="D3" s="106"/>
      <c r="E3" s="1"/>
    </row>
    <row r="4" spans="1:5" ht="15" customHeight="1" x14ac:dyDescent="0.25">
      <c r="A4" s="1"/>
      <c r="B4" s="106"/>
      <c r="C4" s="106"/>
      <c r="D4" s="106"/>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420246367.81163222</v>
      </c>
      <c r="D9" s="8" t="s">
        <v>3</v>
      </c>
      <c r="E9" s="1"/>
    </row>
    <row r="10" spans="1:5" ht="17.25" customHeight="1" x14ac:dyDescent="0.25">
      <c r="A10" s="1"/>
      <c r="B10" s="64" t="s">
        <v>35</v>
      </c>
      <c r="C10" s="7">
        <f>'Fane 11.1. Varige tillæg'!C20</f>
        <v>3472341.9720000001</v>
      </c>
      <c r="D10" s="8" t="s">
        <v>3</v>
      </c>
      <c r="E10" s="1"/>
    </row>
    <row r="11" spans="1:5" ht="17.25" customHeight="1" x14ac:dyDescent="0.25">
      <c r="A11" s="1"/>
      <c r="B11" s="64" t="s">
        <v>36</v>
      </c>
      <c r="C11" s="9">
        <f>'Fane 11.1. Varige tillæg'!E20</f>
        <v>2753818.5426950003</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34368700.961304158</v>
      </c>
      <c r="D16" s="8" t="s">
        <v>3</v>
      </c>
      <c r="E16" s="1"/>
    </row>
    <row r="17" spans="1:5" ht="17.25" customHeight="1" x14ac:dyDescent="0.25">
      <c r="A17" s="1"/>
      <c r="B17" s="64" t="s">
        <v>10</v>
      </c>
      <c r="C17" s="38">
        <f>-SUM(C9,C10:C16)*'Fane 5. Individuelt eff. krav'!C9</f>
        <v>0</v>
      </c>
      <c r="D17" s="8" t="s">
        <v>3</v>
      </c>
      <c r="E17" s="1"/>
    </row>
    <row r="18" spans="1:5" ht="17.25" customHeight="1" x14ac:dyDescent="0.25">
      <c r="A18" s="1"/>
      <c r="B18" s="64" t="s">
        <v>22</v>
      </c>
      <c r="C18" s="38">
        <f>-'Fane 4.1. Gen. krav - drift'!C17</f>
        <v>-3037314.3074930157</v>
      </c>
      <c r="D18" s="8" t="s">
        <v>3</v>
      </c>
      <c r="E18" s="1"/>
    </row>
    <row r="19" spans="1:5" ht="17.25" customHeight="1" x14ac:dyDescent="0.25">
      <c r="A19" s="1"/>
      <c r="B19" s="64" t="s">
        <v>23</v>
      </c>
      <c r="C19" s="38">
        <f>-'Fane 4.2. Gen. krav - anlæg'!C17</f>
        <v>0</v>
      </c>
      <c r="D19" s="8" t="s">
        <v>3</v>
      </c>
      <c r="E19" s="43"/>
    </row>
    <row r="20" spans="1:5" ht="17.25" customHeight="1" x14ac:dyDescent="0.25">
      <c r="A20" s="1"/>
      <c r="B20" s="83" t="s">
        <v>21</v>
      </c>
      <c r="C20" s="10">
        <f>SUM(C9:C19)</f>
        <v>457803914.98013836</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omk.'!C20+'Fane 6. Ikke-påvirkelige omk.'!C24+'Fane 6. Ikke-påvirkelige omk.'!C32</f>
        <v>31732610.967317857</v>
      </c>
      <c r="D22" s="11" t="s">
        <v>3</v>
      </c>
      <c r="E22" s="1"/>
    </row>
    <row r="23" spans="1:5" ht="15" customHeight="1" x14ac:dyDescent="0.25">
      <c r="A23" s="1"/>
      <c r="B23" s="33" t="s">
        <v>42</v>
      </c>
      <c r="C23" s="28"/>
      <c r="D23" s="19"/>
      <c r="E23" s="1"/>
    </row>
    <row r="24" spans="1:5" ht="15" customHeight="1" x14ac:dyDescent="0.25">
      <c r="A24" s="1"/>
      <c r="B24" s="83" t="s">
        <v>42</v>
      </c>
      <c r="C24" s="10">
        <f>'Fane 12. Periodevise driftsomk.'!C12</f>
        <v>0</v>
      </c>
      <c r="D24" s="11" t="s">
        <v>3</v>
      </c>
      <c r="E24" s="1"/>
    </row>
    <row r="25" spans="1:5" ht="15" customHeight="1" x14ac:dyDescent="0.25">
      <c r="A25" s="1"/>
      <c r="B25" s="41" t="s">
        <v>41</v>
      </c>
      <c r="C25" s="39"/>
      <c r="D25" s="40"/>
      <c r="E25" s="1"/>
    </row>
    <row r="26" spans="1:5" ht="15" customHeight="1" x14ac:dyDescent="0.25">
      <c r="A26" s="1"/>
      <c r="B26" s="64" t="s">
        <v>89</v>
      </c>
      <c r="C26" s="38">
        <f>'Fane 11.2. Engangstillæg'!C18</f>
        <v>15169157.32248291</v>
      </c>
      <c r="D26" s="8" t="s">
        <v>3</v>
      </c>
      <c r="E26" s="1"/>
    </row>
    <row r="27" spans="1:5" ht="15" customHeight="1" x14ac:dyDescent="0.25">
      <c r="A27" s="1"/>
      <c r="B27" s="64" t="s">
        <v>38</v>
      </c>
      <c r="C27" s="38">
        <f>'Fane 11.2. Engangstillæg'!E18</f>
        <v>2502909.3736924864</v>
      </c>
      <c r="D27" s="8" t="s">
        <v>3</v>
      </c>
      <c r="E27" s="1"/>
    </row>
    <row r="28" spans="1:5" ht="15" customHeight="1" x14ac:dyDescent="0.25">
      <c r="A28" s="1"/>
      <c r="B28" s="64" t="s">
        <v>92</v>
      </c>
      <c r="C28" s="38">
        <f>-C26*('Fane 15. Nøgletal'!C21+'Fane 5. Individuelt eff. krav'!C9)</f>
        <v>-303383.1464496582</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17368683.549725737</v>
      </c>
      <c r="D30" s="11" t="s">
        <v>3</v>
      </c>
      <c r="E30" s="1"/>
    </row>
    <row r="31" spans="1:5" x14ac:dyDescent="0.25">
      <c r="A31" s="1"/>
      <c r="B31" s="33" t="s">
        <v>69</v>
      </c>
      <c r="C31" s="28"/>
      <c r="D31" s="19"/>
      <c r="E31" s="1"/>
    </row>
    <row r="32" spans="1:5" x14ac:dyDescent="0.25">
      <c r="A32" s="1"/>
      <c r="B32" s="31" t="s">
        <v>79</v>
      </c>
      <c r="C32" s="62">
        <f>'Fane 7. Kontrol af ØR2023'!C27</f>
        <v>-23707693.5</v>
      </c>
      <c r="D32" s="11" t="s">
        <v>3</v>
      </c>
      <c r="E32" s="1"/>
    </row>
    <row r="33" spans="1:5" ht="15" customHeight="1" x14ac:dyDescent="0.25">
      <c r="A33" s="1"/>
      <c r="B33" s="33" t="s">
        <v>154</v>
      </c>
      <c r="C33" s="28"/>
      <c r="D33" s="19"/>
      <c r="E33" s="1"/>
    </row>
    <row r="34" spans="1:5" x14ac:dyDescent="0.25">
      <c r="A34" s="1"/>
      <c r="B34" s="31" t="s">
        <v>154</v>
      </c>
      <c r="C34" s="10">
        <f>'Fane 9. Korrektion af ØR2023'!C16</f>
        <v>-837635</v>
      </c>
      <c r="D34" s="11" t="s">
        <v>3</v>
      </c>
      <c r="E34" s="1"/>
    </row>
    <row r="35" spans="1:5" x14ac:dyDescent="0.25">
      <c r="A35" s="1"/>
      <c r="B35" s="30" t="s">
        <v>75</v>
      </c>
      <c r="C35" s="28"/>
      <c r="D35" s="19"/>
      <c r="E35" s="1"/>
    </row>
    <row r="36" spans="1:5" x14ac:dyDescent="0.25">
      <c r="A36" s="1"/>
      <c r="B36" s="67" t="s">
        <v>76</v>
      </c>
      <c r="C36" s="10">
        <f>'Fane 8. Skattesagen'!C14</f>
        <v>0</v>
      </c>
      <c r="D36" s="11" t="s">
        <v>3</v>
      </c>
      <c r="E36" s="1"/>
    </row>
    <row r="37" spans="1:5" x14ac:dyDescent="0.25">
      <c r="A37" s="1"/>
      <c r="B37" s="33" t="s">
        <v>71</v>
      </c>
      <c r="C37" s="45">
        <f>SUM(C34,C32,C24,C30,C22,C20,C36)</f>
        <v>482359880.99718195</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x7AqV8t3AQD8rFUYcEwIt+OJHtSuog7t/lj1S10jXKJCfxfc/YLWMB/aJAXVnhkDf9V2E0Ag5g8PSCgdXWsdoA==" saltValue="hC8HimE+dhX4Q4mnxJhJM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8" t="s">
        <v>119</v>
      </c>
      <c r="C3" s="108"/>
      <c r="D3" s="1"/>
    </row>
    <row r="4" spans="1:4" ht="15" customHeight="1" x14ac:dyDescent="0.25">
      <c r="A4" s="1"/>
      <c r="B4" s="108"/>
      <c r="C4" s="108"/>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224</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213</v>
      </c>
      <c r="C15" s="60">
        <v>0</v>
      </c>
      <c r="D15" s="1"/>
    </row>
    <row r="16" spans="1:4" x14ac:dyDescent="0.25">
      <c r="A16" s="1"/>
      <c r="B16" s="59" t="s">
        <v>225</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9Yh0pIx/RYBw6mq1iCmlud/60uwsU8dNpijp7neK1r7bJn5sQMeoZMVrckjI/moOPCV8H4eSL3FVDIYcJD4Qbw==" saltValue="ZOt+q5RSCksSGa32KFCue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156</v>
      </c>
      <c r="C3" s="106"/>
      <c r="D3" s="106"/>
      <c r="E3" s="1"/>
    </row>
    <row r="4" spans="1:5" ht="15" customHeight="1" x14ac:dyDescent="0.25">
      <c r="A4" s="1"/>
      <c r="B4" s="106"/>
      <c r="C4" s="106"/>
      <c r="D4" s="106"/>
      <c r="E4" s="1"/>
    </row>
    <row r="5" spans="1:5" x14ac:dyDescent="0.25">
      <c r="A5" s="1"/>
      <c r="B5" s="107" t="s">
        <v>144</v>
      </c>
      <c r="C5" s="107"/>
      <c r="D5" s="107"/>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457803914.98013836</v>
      </c>
      <c r="D9" s="8" t="s">
        <v>3</v>
      </c>
      <c r="E9" s="1"/>
    </row>
    <row r="10" spans="1:5" ht="15" customHeight="1" x14ac:dyDescent="0.25">
      <c r="A10" s="1"/>
      <c r="B10" s="26" t="s">
        <v>19</v>
      </c>
      <c r="C10" s="7">
        <f>C9*'Fane 15. Nøgletal'!C10</f>
        <v>30352399.563183174</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drift'!C22</f>
        <v>-3173914.4811582072</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484982400.06216335</v>
      </c>
      <c r="D14" s="11" t="s">
        <v>3</v>
      </c>
      <c r="E14" s="1"/>
    </row>
    <row r="15" spans="1:5" x14ac:dyDescent="0.25">
      <c r="A15" s="1"/>
      <c r="B15" s="33" t="s">
        <v>12</v>
      </c>
      <c r="C15" s="28"/>
      <c r="D15" s="19"/>
      <c r="E15" s="1"/>
    </row>
    <row r="16" spans="1:5" ht="15" customHeight="1" x14ac:dyDescent="0.25">
      <c r="A16" s="1"/>
      <c r="B16" s="31" t="s">
        <v>12</v>
      </c>
      <c r="C16" s="10">
        <f>'Fane 6. Ikke-påvirkelige omk.'!C20*(1+'Fane 15. Nøgletal'!C10)+'Fane 6. Ikke-påvirkelige omk.'!C25+'Fane 6. Ikke-påvirkelige omk.'!C33</f>
        <v>33516034.427151032</v>
      </c>
      <c r="D16" s="11" t="s">
        <v>3</v>
      </c>
      <c r="E16" s="1"/>
    </row>
    <row r="17" spans="1:5" ht="15" customHeight="1" x14ac:dyDescent="0.25">
      <c r="A17" s="1"/>
      <c r="B17" s="33" t="s">
        <v>42</v>
      </c>
      <c r="C17" s="28"/>
      <c r="D17" s="19"/>
      <c r="E17" s="1"/>
    </row>
    <row r="18" spans="1:5" ht="15" customHeight="1" x14ac:dyDescent="0.25">
      <c r="A18" s="1"/>
      <c r="B18" s="83" t="s">
        <v>42</v>
      </c>
      <c r="C18" s="10">
        <f>'Fane 12. Periodevise driftsomk.'!C18</f>
        <v>0</v>
      </c>
      <c r="D18" s="11" t="s">
        <v>3</v>
      </c>
      <c r="E18" s="1"/>
    </row>
    <row r="19" spans="1:5" x14ac:dyDescent="0.25">
      <c r="A19" s="1"/>
      <c r="B19" s="33" t="s">
        <v>69</v>
      </c>
      <c r="C19" s="28"/>
      <c r="D19" s="19"/>
      <c r="E19" s="1"/>
    </row>
    <row r="20" spans="1:5" ht="15" customHeight="1" x14ac:dyDescent="0.25">
      <c r="A20" s="1"/>
      <c r="B20" s="31" t="s">
        <v>79</v>
      </c>
      <c r="C20" s="10">
        <f>'Fane 7. Kontrol af ØR2023'!C33</f>
        <v>-1153123.2390030324</v>
      </c>
      <c r="D20" s="11" t="s">
        <v>3</v>
      </c>
      <c r="E20" s="1"/>
    </row>
    <row r="21" spans="1:5" x14ac:dyDescent="0.25">
      <c r="A21" s="1"/>
      <c r="B21" s="30" t="s">
        <v>75</v>
      </c>
      <c r="C21" s="28"/>
      <c r="D21" s="19"/>
      <c r="E21" s="1"/>
    </row>
    <row r="22" spans="1:5" x14ac:dyDescent="0.25">
      <c r="A22" s="1"/>
      <c r="B22" s="67" t="s">
        <v>76</v>
      </c>
      <c r="C22" s="10">
        <f>'Fane 8. Skattesagen'!C15</f>
        <v>0</v>
      </c>
      <c r="D22" s="11" t="s">
        <v>3</v>
      </c>
      <c r="E22" s="1"/>
    </row>
    <row r="23" spans="1:5" x14ac:dyDescent="0.25">
      <c r="A23" s="1"/>
      <c r="B23" s="33" t="s">
        <v>81</v>
      </c>
      <c r="C23" s="12">
        <f>SUM(C14,C16,C18,C20,C22)</f>
        <v>517345311.25031137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1wNLEuyexcPMjsHj26hoaKgPp97TnhDEVO3MarHDpl4b1UFIJeX+lx3DNAb1zGfCIjq+eHATsW4LtSFehDvlKw==" saltValue="CH6CJVffO1/0vpTqHHrJf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157</v>
      </c>
      <c r="C3" s="106"/>
      <c r="D3" s="106"/>
      <c r="E3" s="1"/>
    </row>
    <row r="4" spans="1:5" ht="15" customHeight="1" x14ac:dyDescent="0.25">
      <c r="A4" s="1"/>
      <c r="B4" s="106"/>
      <c r="C4" s="106"/>
      <c r="D4" s="106"/>
      <c r="E4" s="1"/>
    </row>
    <row r="5" spans="1:5" x14ac:dyDescent="0.25">
      <c r="A5" s="1"/>
      <c r="B5" s="107" t="s">
        <v>144</v>
      </c>
      <c r="C5" s="107"/>
      <c r="D5" s="107"/>
      <c r="E5" s="1"/>
    </row>
    <row r="6" spans="1:5" x14ac:dyDescent="0.25">
      <c r="A6" s="1"/>
      <c r="B6" s="75"/>
      <c r="C6" s="75"/>
      <c r="D6" s="75"/>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484982400.06216335</v>
      </c>
      <c r="D9" s="8" t="s">
        <v>3</v>
      </c>
      <c r="E9" s="1"/>
    </row>
    <row r="10" spans="1:5" ht="15" customHeight="1" x14ac:dyDescent="0.25">
      <c r="A10" s="1"/>
      <c r="B10" s="26" t="s">
        <v>19</v>
      </c>
      <c r="C10" s="7">
        <f>SUM(C9:C9)*'Fane 15. Nøgletal'!C10</f>
        <v>32154333.124121428</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drift'!C27</f>
        <v>-3316658.1110338164</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513820075.07525098</v>
      </c>
      <c r="D14" s="11" t="s">
        <v>3</v>
      </c>
      <c r="E14" s="1"/>
    </row>
    <row r="15" spans="1:5" x14ac:dyDescent="0.25">
      <c r="A15" s="1"/>
      <c r="B15" s="33" t="s">
        <v>12</v>
      </c>
      <c r="C15" s="28"/>
      <c r="D15" s="19"/>
      <c r="E15" s="1"/>
    </row>
    <row r="16" spans="1:5" ht="15" customHeight="1" x14ac:dyDescent="0.25">
      <c r="A16" s="1"/>
      <c r="B16" s="31" t="s">
        <v>12</v>
      </c>
      <c r="C16" s="10">
        <f>'Fane 6. Ikke-påvirkelige omk.'!C20*(1+'Fane 15. Nøgletal'!C10)^2+'Fane 6. Ikke-påvirkelige omk.'!C26+'Fane 6. Ikke-påvirkelige omk.'!C34</f>
        <v>35417004.314371139</v>
      </c>
      <c r="D16" s="11" t="s">
        <v>3</v>
      </c>
      <c r="E16" s="1"/>
    </row>
    <row r="17" spans="1:5" ht="15" customHeight="1" x14ac:dyDescent="0.25">
      <c r="A17" s="1"/>
      <c r="B17" s="33" t="s">
        <v>42</v>
      </c>
      <c r="C17" s="28"/>
      <c r="D17" s="19"/>
      <c r="E17" s="1"/>
    </row>
    <row r="18" spans="1:5" ht="15" customHeight="1" x14ac:dyDescent="0.25">
      <c r="A18" s="1"/>
      <c r="B18" s="83" t="s">
        <v>42</v>
      </c>
      <c r="C18" s="10">
        <f>'Fane 12. Periodevise driftsomk.'!C24</f>
        <v>0</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-1153123.2390030324</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548083956.15061903</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QyWbvRYXyr/PC54ZOSdZvHjdrxFMp5AqPPJZo9wMvlEr2fUMaqQiLRqXVJjXbVirWtLUUriR37XtOdkNIMVEkA==" saltValue="tnKvNcsJXvwv0eokN/Ke+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158</v>
      </c>
      <c r="C3" s="106"/>
      <c r="D3" s="106"/>
      <c r="E3" s="1"/>
    </row>
    <row r="4" spans="1:5" ht="15" customHeight="1" x14ac:dyDescent="0.25">
      <c r="A4" s="1"/>
      <c r="B4" s="106"/>
      <c r="C4" s="106"/>
      <c r="D4" s="106"/>
      <c r="E4" s="1"/>
    </row>
    <row r="5" spans="1:5" x14ac:dyDescent="0.25">
      <c r="A5" s="1"/>
      <c r="B5" s="107" t="s">
        <v>144</v>
      </c>
      <c r="C5" s="107"/>
      <c r="D5" s="107"/>
      <c r="E5" s="1"/>
    </row>
    <row r="6" spans="1:5" x14ac:dyDescent="0.25">
      <c r="A6" s="1"/>
      <c r="B6" s="75"/>
      <c r="C6" s="75"/>
      <c r="D6" s="75"/>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513820075.07525098</v>
      </c>
      <c r="D9" s="8" t="s">
        <v>3</v>
      </c>
      <c r="E9" s="1"/>
    </row>
    <row r="10" spans="1:5" ht="15" customHeight="1" x14ac:dyDescent="0.25">
      <c r="A10" s="1"/>
      <c r="B10" s="26" t="s">
        <v>19</v>
      </c>
      <c r="C10" s="7">
        <f>SUM(C9:C9)*'Fane 15. Nøgletal'!C10</f>
        <v>34066270.977489136</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drift'!C32</f>
        <v>-3465821.4929194511</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544420524.55982065</v>
      </c>
      <c r="D14" s="11" t="s">
        <v>3</v>
      </c>
      <c r="E14" s="1"/>
    </row>
    <row r="15" spans="1:5" x14ac:dyDescent="0.25">
      <c r="A15" s="1"/>
      <c r="B15" s="33" t="s">
        <v>12</v>
      </c>
      <c r="C15" s="28"/>
      <c r="D15" s="19"/>
      <c r="E15" s="1"/>
    </row>
    <row r="16" spans="1:5" ht="15" customHeight="1" x14ac:dyDescent="0.25">
      <c r="A16" s="1"/>
      <c r="B16" s="31" t="s">
        <v>12</v>
      </c>
      <c r="C16" s="10">
        <f>'Fane 6. Ikke-påvirkelige omk.'!C20*(1+'Fane 15. Nøgletal'!C10)^3+'Fane 6. Ikke-påvirkelige omk.'!C27+'Fane 6. Ikke-påvirkelige omk.'!C35</f>
        <v>37443300.641813949</v>
      </c>
      <c r="D16" s="11" t="s">
        <v>3</v>
      </c>
      <c r="E16" s="1"/>
    </row>
    <row r="17" spans="1:5" ht="15" customHeight="1" x14ac:dyDescent="0.25">
      <c r="A17" s="1"/>
      <c r="B17" s="33" t="s">
        <v>42</v>
      </c>
      <c r="C17" s="28"/>
      <c r="D17" s="19"/>
      <c r="E17" s="1"/>
    </row>
    <row r="18" spans="1:5" ht="15" customHeight="1" x14ac:dyDescent="0.25">
      <c r="A18" s="1"/>
      <c r="B18" s="83" t="s">
        <v>42</v>
      </c>
      <c r="C18" s="10">
        <f>'Fane 12. Periodevise driftsomk.'!C30</f>
        <v>0</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581863825.20163465</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xVCQ78j0oLM/Xomh+20zcF21HdGeVWT6Q1tCtfy1KdQwNMUSQVEUDL21OVkpXUhXpitmIKjiRZ6agn/qnAx2yQ==" saltValue="qtNQM2e0Z/9GrvviSD3yS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8" t="s">
        <v>161</v>
      </c>
      <c r="C3" s="108"/>
      <c r="D3" s="108"/>
      <c r="E3" s="1"/>
    </row>
    <row r="4" spans="1:5" ht="15" customHeight="1" x14ac:dyDescent="0.25">
      <c r="A4" s="1"/>
      <c r="B4" s="108"/>
      <c r="C4" s="108"/>
      <c r="D4" s="108"/>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385377668.67431629</v>
      </c>
      <c r="D9" s="8" t="s">
        <v>3</v>
      </c>
      <c r="E9" s="1"/>
    </row>
    <row r="10" spans="1:5" ht="15" customHeight="1" x14ac:dyDescent="0.25">
      <c r="A10" s="1"/>
      <c r="B10" s="64" t="s">
        <v>35</v>
      </c>
      <c r="C10" s="7">
        <v>3288047.588</v>
      </c>
      <c r="D10" s="8" t="s">
        <v>3</v>
      </c>
      <c r="E10" s="1"/>
    </row>
    <row r="11" spans="1:5" ht="15" customHeight="1" x14ac:dyDescent="0.25">
      <c r="A11" s="1"/>
      <c r="B11" s="64" t="s">
        <v>36</v>
      </c>
      <c r="C11" s="9">
        <v>2751801.1023999997</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31626535.403069075</v>
      </c>
      <c r="D16" s="8" t="s">
        <v>3</v>
      </c>
      <c r="E16" s="1"/>
    </row>
    <row r="17" spans="1:5" ht="15" customHeight="1" x14ac:dyDescent="0.25">
      <c r="A17" s="1"/>
      <c r="B17" s="64" t="s">
        <v>10</v>
      </c>
      <c r="C17" s="38">
        <v>0</v>
      </c>
      <c r="D17" s="8" t="s">
        <v>3</v>
      </c>
      <c r="E17" s="1"/>
    </row>
    <row r="18" spans="1:5" ht="15" customHeight="1" x14ac:dyDescent="0.25">
      <c r="A18" s="1"/>
      <c r="B18" s="64" t="s">
        <v>22</v>
      </c>
      <c r="C18" s="38">
        <v>-2797684.9561531735</v>
      </c>
      <c r="D18" s="8" t="s">
        <v>3</v>
      </c>
      <c r="E18" s="1"/>
    </row>
    <row r="19" spans="1:5" ht="15" customHeight="1" x14ac:dyDescent="0.25">
      <c r="A19" s="1"/>
      <c r="B19" s="64" t="s">
        <v>23</v>
      </c>
      <c r="C19" s="38">
        <v>0</v>
      </c>
      <c r="D19" s="8" t="s">
        <v>3</v>
      </c>
      <c r="E19" s="43"/>
    </row>
    <row r="20" spans="1:5" ht="15" customHeight="1" x14ac:dyDescent="0.25">
      <c r="A20" s="1"/>
      <c r="B20" s="83" t="s">
        <v>21</v>
      </c>
      <c r="C20" s="10">
        <v>420246367.81163222</v>
      </c>
      <c r="D20" s="11" t="s">
        <v>3</v>
      </c>
      <c r="E20" s="1"/>
    </row>
    <row r="21" spans="1:5" ht="15" customHeight="1" x14ac:dyDescent="0.25">
      <c r="A21" s="1"/>
      <c r="B21" s="33" t="s">
        <v>12</v>
      </c>
      <c r="C21" s="28"/>
      <c r="D21" s="19"/>
      <c r="E21" s="1"/>
    </row>
    <row r="22" spans="1:5" ht="15" customHeight="1" x14ac:dyDescent="0.25">
      <c r="A22" s="1"/>
      <c r="B22" s="31" t="s">
        <v>12</v>
      </c>
      <c r="C22" s="10">
        <v>27653941.800575998</v>
      </c>
      <c r="D22" s="11" t="s">
        <v>3</v>
      </c>
      <c r="E22" s="1"/>
    </row>
    <row r="23" spans="1:5" ht="15" customHeight="1" x14ac:dyDescent="0.25">
      <c r="A23" s="1"/>
      <c r="B23" s="33" t="s">
        <v>42</v>
      </c>
      <c r="C23" s="28"/>
      <c r="D23" s="19"/>
      <c r="E23" s="1"/>
    </row>
    <row r="24" spans="1:5" ht="15" customHeight="1" x14ac:dyDescent="0.25">
      <c r="A24" s="1"/>
      <c r="B24" s="83" t="s">
        <v>42</v>
      </c>
      <c r="C24" s="10">
        <v>0</v>
      </c>
      <c r="D24" s="11" t="s">
        <v>3</v>
      </c>
      <c r="E24" s="1"/>
    </row>
    <row r="25" spans="1:5" x14ac:dyDescent="0.25">
      <c r="A25" s="1"/>
      <c r="B25" s="41" t="s">
        <v>41</v>
      </c>
      <c r="C25" s="39"/>
      <c r="D25" s="40"/>
      <c r="E25" s="1"/>
    </row>
    <row r="26" spans="1:5" ht="15" customHeight="1" x14ac:dyDescent="0.25">
      <c r="A26" s="1"/>
      <c r="B26" s="64" t="s">
        <v>89</v>
      </c>
      <c r="C26" s="38">
        <v>8679316.1124499198</v>
      </c>
      <c r="D26" s="8" t="s">
        <v>3</v>
      </c>
      <c r="E26" s="1"/>
    </row>
    <row r="27" spans="1:5" ht="15" customHeight="1" x14ac:dyDescent="0.25">
      <c r="A27" s="1"/>
      <c r="B27" s="64" t="s">
        <v>38</v>
      </c>
      <c r="C27" s="38">
        <v>0</v>
      </c>
      <c r="D27" s="8" t="s">
        <v>3</v>
      </c>
      <c r="E27" s="1"/>
    </row>
    <row r="28" spans="1:5" ht="15" customHeight="1" x14ac:dyDescent="0.25">
      <c r="A28" s="1"/>
      <c r="B28" s="64" t="s">
        <v>92</v>
      </c>
      <c r="C28" s="38">
        <v>-173586.32224899839</v>
      </c>
      <c r="D28" s="8" t="s">
        <v>3</v>
      </c>
      <c r="E28" s="1"/>
    </row>
    <row r="29" spans="1:5" ht="15" customHeight="1" x14ac:dyDescent="0.25">
      <c r="A29" s="1"/>
      <c r="B29" s="64" t="s">
        <v>93</v>
      </c>
      <c r="C29" s="38">
        <v>0</v>
      </c>
      <c r="D29" s="8" t="s">
        <v>3</v>
      </c>
      <c r="E29" s="1"/>
    </row>
    <row r="30" spans="1:5" ht="15" customHeight="1" x14ac:dyDescent="0.25">
      <c r="A30" s="1"/>
      <c r="B30" s="67" t="s">
        <v>43</v>
      </c>
      <c r="C30" s="10">
        <v>8505729.7902009208</v>
      </c>
      <c r="D30" s="11" t="s">
        <v>3</v>
      </c>
      <c r="E30" s="1"/>
    </row>
    <row r="31" spans="1:5" ht="15" customHeight="1" x14ac:dyDescent="0.25">
      <c r="A31" s="1"/>
      <c r="B31" s="33" t="s">
        <v>69</v>
      </c>
      <c r="C31" s="28"/>
      <c r="D31" s="19"/>
      <c r="E31" s="1"/>
    </row>
    <row r="32" spans="1:5" ht="15" customHeight="1" x14ac:dyDescent="0.25">
      <c r="A32" s="1"/>
      <c r="B32" s="31" t="s">
        <v>79</v>
      </c>
      <c r="C32" s="10">
        <v>-23707693.5</v>
      </c>
      <c r="D32" s="11" t="s">
        <v>3</v>
      </c>
      <c r="E32" s="1"/>
    </row>
    <row r="33" spans="1:5" x14ac:dyDescent="0.25">
      <c r="A33" s="1"/>
      <c r="B33" s="33" t="s">
        <v>128</v>
      </c>
      <c r="C33" s="28"/>
      <c r="D33" s="19"/>
      <c r="E33" s="1"/>
    </row>
    <row r="34" spans="1:5" ht="15.4" customHeight="1" x14ac:dyDescent="0.25">
      <c r="A34" s="1"/>
      <c r="B34" s="31" t="s">
        <v>128</v>
      </c>
      <c r="C34" s="10">
        <v>-1780233</v>
      </c>
      <c r="D34" s="11" t="s">
        <v>3</v>
      </c>
      <c r="E34" s="1"/>
    </row>
    <row r="35" spans="1:5" ht="15.4" customHeight="1" x14ac:dyDescent="0.25">
      <c r="A35" s="1"/>
      <c r="B35" s="30" t="s">
        <v>75</v>
      </c>
      <c r="C35" s="28"/>
      <c r="D35" s="19"/>
      <c r="E35" s="1"/>
    </row>
    <row r="36" spans="1:5" x14ac:dyDescent="0.25">
      <c r="A36" s="1"/>
      <c r="B36" s="67" t="s">
        <v>76</v>
      </c>
      <c r="C36" s="10">
        <v>0</v>
      </c>
      <c r="D36" s="11" t="s">
        <v>3</v>
      </c>
      <c r="E36" s="1"/>
    </row>
    <row r="37" spans="1:5" x14ac:dyDescent="0.25">
      <c r="A37" s="1"/>
      <c r="B37" s="33" t="s">
        <v>65</v>
      </c>
      <c r="C37" s="45">
        <v>430918112.90240914</v>
      </c>
      <c r="D37" s="30" t="s">
        <v>3</v>
      </c>
      <c r="E37" s="1"/>
    </row>
    <row r="38" spans="1:5" ht="30" customHeight="1" x14ac:dyDescent="0.25">
      <c r="A38" s="1"/>
      <c r="B38" s="109" t="s">
        <v>223</v>
      </c>
      <c r="C38" s="109"/>
      <c r="D38" s="109"/>
      <c r="E38" s="1"/>
    </row>
    <row r="39" spans="1:5" x14ac:dyDescent="0.25">
      <c r="A39" s="1"/>
      <c r="B39" s="1"/>
      <c r="C39" s="1"/>
      <c r="D39" s="1"/>
      <c r="E39" s="1"/>
    </row>
    <row r="40" spans="1:5" ht="27" customHeight="1"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iBTLEc5RAanI9gn0rVC0i9SzI8xHGMuzL11zSOLscmz/3uKS210UWVYfyAjeN9/VIt3lfUtRA0qaoIBlj77KGw==" saltValue="T1MH9bKcVtON0GhZ7mDEFA=="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8" t="s">
        <v>56</v>
      </c>
      <c r="C3" s="108"/>
      <c r="D3" s="108"/>
      <c r="E3" s="1"/>
    </row>
    <row r="4" spans="1:5" ht="15" customHeight="1" x14ac:dyDescent="0.25">
      <c r="A4" s="1"/>
      <c r="B4" s="108"/>
      <c r="C4" s="108"/>
      <c r="D4" s="108"/>
      <c r="E4" s="1"/>
    </row>
    <row r="5" spans="1:5" ht="15" customHeight="1" x14ac:dyDescent="0.25">
      <c r="A5" s="1"/>
      <c r="B5" s="108"/>
      <c r="C5" s="108"/>
      <c r="D5" s="108"/>
      <c r="E5" s="1"/>
    </row>
    <row r="6" spans="1:5" ht="15" customHeight="1" x14ac:dyDescent="0.25">
      <c r="A6" s="1"/>
      <c r="B6" s="76"/>
      <c r="C6" s="76"/>
      <c r="D6" s="76"/>
      <c r="E6" s="1"/>
    </row>
    <row r="7" spans="1:5" x14ac:dyDescent="0.25">
      <c r="A7" s="1"/>
      <c r="B7" s="1"/>
      <c r="C7" s="1"/>
      <c r="D7" s="1"/>
      <c r="E7" s="1"/>
    </row>
    <row r="8" spans="1:5" x14ac:dyDescent="0.25">
      <c r="A8" s="1"/>
      <c r="B8" s="110" t="s">
        <v>123</v>
      </c>
      <c r="C8" s="111"/>
      <c r="D8" s="112"/>
      <c r="E8" s="1"/>
    </row>
    <row r="9" spans="1:5" x14ac:dyDescent="0.25">
      <c r="A9" s="1"/>
      <c r="B9" s="65" t="s">
        <v>88</v>
      </c>
      <c r="C9" s="23">
        <v>136330525.97454834</v>
      </c>
      <c r="D9" s="14" t="s">
        <v>3</v>
      </c>
      <c r="E9" s="1"/>
    </row>
    <row r="10" spans="1:5" x14ac:dyDescent="0.25">
      <c r="A10" s="1"/>
      <c r="B10" s="65" t="s">
        <v>125</v>
      </c>
      <c r="C10" s="23">
        <f>('Fane 3. Omkostninger i ØR2024'!C10+'Fane 3. Omkostninger i ØR2024'!C12+'Fane 3. Omkostninger i ØR2024'!C14)*(1+'Fane 15. Nøgletal'!C9)</f>
        <v>3553721.8331104</v>
      </c>
      <c r="D10" s="14" t="s">
        <v>3</v>
      </c>
      <c r="E10" s="1"/>
    </row>
    <row r="11" spans="1:5" x14ac:dyDescent="0.25">
      <c r="A11" s="1"/>
      <c r="B11" s="65" t="s">
        <v>131</v>
      </c>
      <c r="C11" s="23">
        <f>C9*'Fane 15. Nøgletal'!C21+C10*'Fane 15. Nøgletal'!C21</f>
        <v>2797684.9561531749</v>
      </c>
      <c r="D11" s="14" t="s">
        <v>3</v>
      </c>
      <c r="E11" s="1"/>
    </row>
    <row r="12" spans="1:5" x14ac:dyDescent="0.25">
      <c r="A12" s="1"/>
      <c r="B12" s="33"/>
      <c r="C12" s="28"/>
      <c r="D12" s="19"/>
      <c r="E12" s="1"/>
    </row>
    <row r="13" spans="1:5" x14ac:dyDescent="0.25">
      <c r="A13" s="1"/>
      <c r="B13" s="1"/>
      <c r="C13" s="1"/>
      <c r="D13" s="1"/>
      <c r="E13" s="1"/>
    </row>
    <row r="14" spans="1:5" x14ac:dyDescent="0.25">
      <c r="A14" s="1"/>
      <c r="B14" s="110" t="s">
        <v>124</v>
      </c>
      <c r="C14" s="111"/>
      <c r="D14" s="112"/>
      <c r="E14" s="1"/>
    </row>
    <row r="15" spans="1:5" x14ac:dyDescent="0.25">
      <c r="A15" s="1"/>
      <c r="B15" s="65" t="s">
        <v>133</v>
      </c>
      <c r="C15" s="23">
        <f>(C9+C10-C11)*(1+'Fane 15. Nøgletal'!C9)</f>
        <v>148163157.12990719</v>
      </c>
      <c r="D15" s="14" t="s">
        <v>3</v>
      </c>
      <c r="E15" s="1"/>
    </row>
    <row r="16" spans="1:5" x14ac:dyDescent="0.25">
      <c r="A16" s="1"/>
      <c r="B16" s="65" t="s">
        <v>184</v>
      </c>
      <c r="C16" s="23">
        <f>('Fane 2.1. Økonomisk ramme 2025'!C10+'Fane 2.1. Økonomisk ramme 2025'!C12+'Fane 2.1. Økonomisk ramme 2025'!C14)*(1+'Fane 15. Nøgletal'!C10)</f>
        <v>3702558.2447436</v>
      </c>
      <c r="D16" s="14" t="s">
        <v>3</v>
      </c>
      <c r="E16" s="1"/>
    </row>
    <row r="17" spans="1:5" x14ac:dyDescent="0.25">
      <c r="A17" s="1"/>
      <c r="B17" s="65" t="s">
        <v>132</v>
      </c>
      <c r="C17" s="23">
        <f>C15*'Fane 15. Nøgletal'!C21+C16*'Fane 15. Nøgletal'!C21</f>
        <v>3037314.3074930157</v>
      </c>
      <c r="D17" s="14" t="s">
        <v>3</v>
      </c>
      <c r="E17" s="1"/>
    </row>
    <row r="18" spans="1:5" x14ac:dyDescent="0.25">
      <c r="A18" s="1"/>
      <c r="B18" s="33"/>
      <c r="C18" s="28"/>
      <c r="D18" s="19"/>
      <c r="E18" s="1"/>
    </row>
    <row r="19" spans="1:5" x14ac:dyDescent="0.25">
      <c r="A19" s="1"/>
      <c r="B19" s="1"/>
      <c r="C19" s="63"/>
      <c r="D19" s="1"/>
      <c r="E19" s="1"/>
    </row>
    <row r="20" spans="1:5" x14ac:dyDescent="0.25">
      <c r="A20" s="1"/>
      <c r="B20" s="110" t="s">
        <v>145</v>
      </c>
      <c r="C20" s="111"/>
      <c r="D20" s="112"/>
      <c r="E20" s="1"/>
    </row>
    <row r="21" spans="1:5" x14ac:dyDescent="0.25">
      <c r="A21" s="1"/>
      <c r="B21" s="65" t="s">
        <v>189</v>
      </c>
      <c r="C21" s="23">
        <f>(C15+C16-C17)*(1+'Fane 15. Nøgletal'!C10)</f>
        <v>158695724.05791035</v>
      </c>
      <c r="D21" s="14" t="s">
        <v>3</v>
      </c>
      <c r="E21" s="1"/>
    </row>
    <row r="22" spans="1:5" x14ac:dyDescent="0.25">
      <c r="A22" s="1"/>
      <c r="B22" s="65" t="s">
        <v>196</v>
      </c>
      <c r="C22" s="23">
        <f>C21*'Fane 15. Nøgletal'!C21</f>
        <v>3173914.4811582072</v>
      </c>
      <c r="D22" s="14" t="s">
        <v>3</v>
      </c>
      <c r="E22" s="1"/>
    </row>
    <row r="23" spans="1:5" x14ac:dyDescent="0.25">
      <c r="A23" s="1"/>
      <c r="B23" s="33"/>
      <c r="C23" s="28"/>
      <c r="D23" s="19"/>
      <c r="E23" s="1"/>
    </row>
    <row r="24" spans="1:5" x14ac:dyDescent="0.25">
      <c r="A24" s="1"/>
      <c r="B24" s="1"/>
      <c r="C24" s="1"/>
      <c r="D24" s="1"/>
      <c r="E24" s="1"/>
    </row>
    <row r="25" spans="1:5" x14ac:dyDescent="0.25">
      <c r="A25" s="1"/>
      <c r="B25" s="110" t="s">
        <v>187</v>
      </c>
      <c r="C25" s="111"/>
      <c r="D25" s="112"/>
      <c r="E25" s="1"/>
    </row>
    <row r="26" spans="1:5" x14ac:dyDescent="0.25">
      <c r="A26" s="1"/>
      <c r="B26" s="65" t="s">
        <v>190</v>
      </c>
      <c r="C26" s="23">
        <f>(C21-C22)*(1+'Fane 15. Nøgletal'!C10)</f>
        <v>165832905.55169082</v>
      </c>
      <c r="D26" s="14" t="s">
        <v>3</v>
      </c>
      <c r="E26" s="1"/>
    </row>
    <row r="27" spans="1:5" x14ac:dyDescent="0.25">
      <c r="A27" s="1"/>
      <c r="B27" s="65" t="s">
        <v>194</v>
      </c>
      <c r="C27" s="23">
        <f>C26*'Fane 15. Nøgletal'!C21</f>
        <v>3316658.1110338164</v>
      </c>
      <c r="D27" s="14" t="s">
        <v>3</v>
      </c>
      <c r="E27" s="1"/>
    </row>
    <row r="28" spans="1:5" x14ac:dyDescent="0.25">
      <c r="A28" s="1"/>
      <c r="B28" s="33"/>
      <c r="C28" s="28"/>
      <c r="D28" s="19"/>
      <c r="E28" s="1"/>
    </row>
    <row r="29" spans="1:5" x14ac:dyDescent="0.25">
      <c r="A29" s="1"/>
      <c r="B29" s="1"/>
      <c r="C29" s="1"/>
      <c r="D29" s="1"/>
      <c r="E29" s="1"/>
    </row>
    <row r="30" spans="1:5" x14ac:dyDescent="0.25">
      <c r="A30" s="1"/>
      <c r="B30" s="110" t="s">
        <v>188</v>
      </c>
      <c r="C30" s="111"/>
      <c r="D30" s="112"/>
      <c r="E30" s="1"/>
    </row>
    <row r="31" spans="1:5" x14ac:dyDescent="0.25">
      <c r="A31" s="1"/>
      <c r="B31" s="65" t="s">
        <v>191</v>
      </c>
      <c r="C31" s="23">
        <f>(C26-C27)*(1+'Fane 15. Nøgletal'!C10)</f>
        <v>173291074.64597255</v>
      </c>
      <c r="D31" s="14" t="s">
        <v>3</v>
      </c>
      <c r="E31" s="1"/>
    </row>
    <row r="32" spans="1:5" x14ac:dyDescent="0.25">
      <c r="A32" s="1"/>
      <c r="B32" s="65" t="s">
        <v>195</v>
      </c>
      <c r="C32" s="23">
        <f>C31*'Fane 15. Nøgletal'!C21</f>
        <v>3465821.4929194511</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mR5HPZsb5RkyCkdC0R//sQCzINjDYfDKLFc0Ou8hdnxrUq+GUvPts47q6SxtRoPJ9U5DstOs090kfpCF4YCckg==" saltValue="uTRE/t/XSrLgHOvRhJoO3Q=="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3" t="s">
        <v>57</v>
      </c>
      <c r="C3" s="113"/>
      <c r="D3" s="113"/>
      <c r="E3" s="1"/>
    </row>
    <row r="4" spans="1:5" ht="15" customHeight="1" x14ac:dyDescent="0.25">
      <c r="A4" s="1"/>
      <c r="B4" s="113"/>
      <c r="C4" s="113"/>
      <c r="D4" s="113"/>
      <c r="E4" s="1"/>
    </row>
    <row r="5" spans="1:5" ht="15" customHeight="1" x14ac:dyDescent="0.25">
      <c r="A5" s="1"/>
      <c r="B5" s="113"/>
      <c r="C5" s="113"/>
      <c r="D5" s="113"/>
      <c r="E5" s="1"/>
    </row>
    <row r="6" spans="1:5" ht="15" customHeight="1" x14ac:dyDescent="0.35">
      <c r="A6" s="1"/>
      <c r="B6" s="69"/>
      <c r="C6" s="69"/>
      <c r="D6" s="69"/>
      <c r="E6" s="1"/>
    </row>
    <row r="7" spans="1:5" x14ac:dyDescent="0.25">
      <c r="A7" s="1"/>
      <c r="B7" s="1"/>
      <c r="C7" s="1"/>
      <c r="D7" s="1"/>
      <c r="E7" s="1"/>
    </row>
    <row r="8" spans="1:5" x14ac:dyDescent="0.25">
      <c r="A8" s="1"/>
      <c r="B8" s="110" t="s">
        <v>147</v>
      </c>
      <c r="C8" s="111"/>
      <c r="D8" s="112"/>
      <c r="E8" s="1"/>
    </row>
    <row r="9" spans="1:5" x14ac:dyDescent="0.25">
      <c r="A9" s="1"/>
      <c r="B9" s="65" t="s">
        <v>134</v>
      </c>
      <c r="C9" s="23">
        <v>284708841.5514611</v>
      </c>
      <c r="D9" s="14" t="s">
        <v>3</v>
      </c>
      <c r="E9" s="1"/>
    </row>
    <row r="10" spans="1:5" x14ac:dyDescent="0.25">
      <c r="A10" s="1"/>
      <c r="B10" s="65" t="s">
        <v>126</v>
      </c>
      <c r="C10" s="23">
        <f>('Fane 3. Omkostninger i ØR2024'!C11+'Fane 3. Omkostninger i ØR2024'!C13+'Fane 3. Omkostninger i ØR2024'!C15)*(1+'Fane 15. Nøgletal'!C9)</f>
        <v>2974146.6314739198</v>
      </c>
      <c r="D10" s="14" t="s">
        <v>3</v>
      </c>
      <c r="E10" s="1"/>
    </row>
    <row r="11" spans="1:5" x14ac:dyDescent="0.25">
      <c r="A11" s="1"/>
      <c r="B11" s="65" t="s">
        <v>135</v>
      </c>
      <c r="C11" s="84">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10" t="s">
        <v>146</v>
      </c>
      <c r="C14" s="111"/>
      <c r="D14" s="112"/>
      <c r="E14" s="1"/>
    </row>
    <row r="15" spans="1:5" x14ac:dyDescent="0.25">
      <c r="A15" s="1"/>
      <c r="B15" s="65" t="s">
        <v>136</v>
      </c>
      <c r="C15" s="23">
        <f>(C9+C10-C11)*(1+'Fane 15. Nøgletal'!C9)</f>
        <v>310927773.62811613</v>
      </c>
      <c r="D15" s="14" t="s">
        <v>3</v>
      </c>
      <c r="E15" s="1"/>
    </row>
    <row r="16" spans="1:5" x14ac:dyDescent="0.25">
      <c r="A16" s="1"/>
      <c r="B16" s="65" t="s">
        <v>185</v>
      </c>
      <c r="C16" s="23">
        <f>('Fane 2.1. Økonomisk ramme 2025'!C11+'Fane 2.1. Økonomisk ramme 2025'!C13+'Fane 2.1. Økonomisk ramme 2025'!C15)*(1+'Fane 15. Nøgletal'!C10)</f>
        <v>2936396.7120756791</v>
      </c>
      <c r="D16" s="14" t="s">
        <v>3</v>
      </c>
      <c r="E16" s="1"/>
    </row>
    <row r="17" spans="1:5" x14ac:dyDescent="0.25">
      <c r="A17" s="1"/>
      <c r="B17" s="65" t="s">
        <v>137</v>
      </c>
      <c r="C17" s="84">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10" t="s">
        <v>82</v>
      </c>
      <c r="C20" s="111"/>
      <c r="D20" s="112"/>
      <c r="E20" s="1"/>
    </row>
    <row r="21" spans="1:5" x14ac:dyDescent="0.25">
      <c r="A21" s="1"/>
      <c r="B21" s="65" t="s">
        <v>192</v>
      </c>
      <c r="C21" s="23">
        <f>(C15+C16-C17)*(1+'Fane 15. Nøgletal'!C10)</f>
        <v>334673364.83374649</v>
      </c>
      <c r="D21" s="14" t="s">
        <v>3</v>
      </c>
      <c r="E21" s="1"/>
    </row>
    <row r="22" spans="1:5" x14ac:dyDescent="0.25">
      <c r="A22" s="1"/>
      <c r="B22" s="65" t="s">
        <v>197</v>
      </c>
      <c r="C22" s="84">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10" t="s">
        <v>138</v>
      </c>
      <c r="C25" s="111"/>
      <c r="D25" s="112"/>
      <c r="E25" s="1"/>
    </row>
    <row r="26" spans="1:5" x14ac:dyDescent="0.25">
      <c r="A26" s="1"/>
      <c r="B26" s="65" t="s">
        <v>193</v>
      </c>
      <c r="C26" s="23">
        <f>(C21-C22)*(1+'Fane 15. Nøgletal'!C10)</f>
        <v>356862208.92222387</v>
      </c>
      <c r="D26" s="14" t="s">
        <v>3</v>
      </c>
      <c r="E26" s="1"/>
    </row>
    <row r="27" spans="1:5" x14ac:dyDescent="0.25">
      <c r="A27" s="1"/>
      <c r="B27" s="65" t="s">
        <v>198</v>
      </c>
      <c r="C27" s="84">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10" t="s">
        <v>163</v>
      </c>
      <c r="C30" s="111"/>
      <c r="D30" s="112"/>
      <c r="E30" s="1"/>
    </row>
    <row r="31" spans="1:5" x14ac:dyDescent="0.25">
      <c r="A31" s="1"/>
      <c r="B31" s="65" t="s">
        <v>200</v>
      </c>
      <c r="C31" s="23">
        <f>(C26-C27)*(1+'Fane 15. Nøgletal'!C10)</f>
        <v>380522173.37376732</v>
      </c>
      <c r="D31" s="14" t="s">
        <v>3</v>
      </c>
      <c r="E31" s="1"/>
    </row>
    <row r="32" spans="1:5" x14ac:dyDescent="0.25">
      <c r="A32" s="1"/>
      <c r="B32" s="65" t="s">
        <v>199</v>
      </c>
      <c r="C32" s="84">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T3t6/O7JK5MiZRKITNKGQsxXnYfncTWcXgE4V4YPonBKiG19HnZFwplASZMasR/pjmbtUwTqbO/rgVjIo1QSA==" saltValue="kD+VPDPAhyiwgCT4mdoX2Q=="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6" t="s">
        <v>44</v>
      </c>
      <c r="C3" s="106"/>
      <c r="D3" s="1"/>
    </row>
    <row r="4" spans="1:4" ht="15" customHeight="1" x14ac:dyDescent="0.25">
      <c r="A4" s="1"/>
      <c r="B4" s="106"/>
      <c r="C4" s="106"/>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10" t="s">
        <v>10</v>
      </c>
      <c r="C8" s="112"/>
      <c r="D8" s="1"/>
    </row>
    <row r="9" spans="1:4" x14ac:dyDescent="0.25">
      <c r="A9" s="1"/>
      <c r="B9" s="65" t="s">
        <v>164</v>
      </c>
      <c r="C9" s="22">
        <v>0</v>
      </c>
      <c r="D9" s="1"/>
    </row>
    <row r="10" spans="1:4" x14ac:dyDescent="0.25">
      <c r="A10" s="1"/>
      <c r="B10" s="33"/>
      <c r="C10" s="19"/>
      <c r="D10" s="1"/>
    </row>
    <row r="11" spans="1:4" x14ac:dyDescent="0.25">
      <c r="A11" s="1"/>
      <c r="B11" s="114" t="s">
        <v>218</v>
      </c>
      <c r="C11" s="115"/>
      <c r="D11" s="1"/>
    </row>
    <row r="12" spans="1:4" x14ac:dyDescent="0.25">
      <c r="A12" s="1"/>
      <c r="B12" s="116"/>
      <c r="C12" s="117"/>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m+2YJsjjQQwkZEmaMZrU4NMFxT1lpWlky8iJsgIRMcficHybc0liC1Zpv6aNZfoPzOX7phD9VKe4Lvw0ifXIMA==" saltValue="X57DWfuvR9MzSYQ8UQ78IA=="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2024-05-06T07:45:39Z</cp:lastPrinted>
  <dcterms:created xsi:type="dcterms:W3CDTF">2016-06-02T08:51:18Z</dcterms:created>
  <dcterms:modified xsi:type="dcterms:W3CDTF">2024-09-11T08:06:46Z</dcterms:modified>
</cp:coreProperties>
</file>