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Thisted Drikkevand AS (V184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2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1" i="37" s="1"/>
  <c r="C12" i="37" s="1"/>
  <c r="C12" i="2" s="1"/>
  <c r="E11" i="21"/>
  <c r="E12" i="21" s="1"/>
  <c r="C11" i="21"/>
  <c r="C12" i="21" s="1"/>
  <c r="E11" i="29"/>
  <c r="E12" i="29" s="1"/>
  <c r="C13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1" i="37" s="1"/>
  <c r="E12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<sst xmlns="http://schemas.openxmlformats.org/spreadsheetml/2006/main" count="613" uniqueCount="251">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</sst>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3" fontId="0" fillId="0" borderId="0" xfId="0" applyNumberForma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  <sheetName val="Ark1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>
        <row r="1">
          <cell r="A1" t="str">
            <v>ØR 2021-2024 samt statusmeddelelser</v>
          </cell>
        </row>
      </sheetData>
      <sheetData sheetId="3">
        <row r="1">
          <cell r="A1" t="str">
            <v>ØR 2020-2023 samt statusmeddelelser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250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1" t="s">
        <v>163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15</v>
      </c>
      <c r="D14" s="71" t="s">
        <v>83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35</v>
      </c>
      <c r="D15" s="71" t="s">
        <v>128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36</v>
      </c>
      <c r="D16" s="71" t="s">
        <v>180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127</v>
      </c>
      <c r="D17" s="71" t="s">
        <v>181</v>
      </c>
      <c r="E17" s="72"/>
      <c r="F17" s="72"/>
      <c r="G17" s="73"/>
      <c r="H17" s="1"/>
      <c r="I17" s="1"/>
    </row>
    <row r="18" spans="1:9" x14ac:dyDescent="0.25">
      <c r="A18" s="1"/>
      <c r="B18" s="1"/>
      <c r="C18" s="32" t="s">
        <v>111</v>
      </c>
      <c r="D18" s="80" t="s">
        <v>100</v>
      </c>
      <c r="E18" s="81"/>
      <c r="F18" s="81"/>
      <c r="G18" s="82"/>
      <c r="H18" s="1"/>
      <c r="I18" s="1"/>
    </row>
    <row r="19" spans="1:9" x14ac:dyDescent="0.25">
      <c r="A19" s="1"/>
      <c r="B19" s="1"/>
      <c r="C19" s="32" t="s">
        <v>112</v>
      </c>
      <c r="D19" s="80" t="s">
        <v>101</v>
      </c>
      <c r="E19" s="81"/>
      <c r="F19" s="81"/>
      <c r="G19" s="82"/>
      <c r="H19" s="1"/>
      <c r="I19" s="1"/>
    </row>
    <row r="20" spans="1:9" x14ac:dyDescent="0.25">
      <c r="A20" s="1"/>
      <c r="B20" s="1"/>
      <c r="C20" s="32" t="s">
        <v>7</v>
      </c>
      <c r="D20" s="80" t="s">
        <v>9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113</v>
      </c>
      <c r="D21" s="86" t="s">
        <v>12</v>
      </c>
      <c r="E21" s="87"/>
      <c r="F21" s="87"/>
      <c r="G21" s="88"/>
      <c r="H21" s="1"/>
      <c r="I21" s="1"/>
    </row>
    <row r="22" spans="1:9" x14ac:dyDescent="0.25">
      <c r="A22" s="1"/>
      <c r="B22" s="1"/>
      <c r="C22" s="6" t="s">
        <v>87</v>
      </c>
      <c r="D22" s="75" t="s">
        <v>182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8</v>
      </c>
      <c r="D23" s="75" t="s">
        <v>37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170</v>
      </c>
      <c r="D24" s="75" t="s">
        <v>88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171</v>
      </c>
      <c r="D25" s="75" t="s">
        <v>89</v>
      </c>
      <c r="E25" s="76"/>
      <c r="F25" s="76"/>
      <c r="G25" s="77"/>
      <c r="H25" s="1"/>
      <c r="I25" s="1"/>
    </row>
    <row r="26" spans="1:9" x14ac:dyDescent="0.25">
      <c r="A26" s="1"/>
      <c r="B26" s="1"/>
      <c r="C26" s="6" t="s">
        <v>172</v>
      </c>
      <c r="D26" s="75" t="s">
        <v>129</v>
      </c>
      <c r="E26" s="76"/>
      <c r="F26" s="76"/>
      <c r="G26" s="77"/>
      <c r="H26" s="1"/>
      <c r="I26" s="1"/>
    </row>
    <row r="27" spans="1:9" x14ac:dyDescent="0.25">
      <c r="A27" s="1"/>
      <c r="B27" s="1"/>
      <c r="C27" s="6" t="s">
        <v>114</v>
      </c>
      <c r="D27" s="75" t="s">
        <v>38</v>
      </c>
      <c r="E27" s="76"/>
      <c r="F27" s="76"/>
      <c r="G27" s="77"/>
      <c r="H27" s="1"/>
      <c r="I27" s="1"/>
    </row>
    <row r="28" spans="1:9" x14ac:dyDescent="0.25">
      <c r="A28" s="1"/>
      <c r="B28" s="1"/>
      <c r="C28" s="6" t="s">
        <v>108</v>
      </c>
      <c r="D28" s="83" t="s">
        <v>109</v>
      </c>
      <c r="E28" s="84"/>
      <c r="F28" s="84"/>
      <c r="G28" s="85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nsi4G/tJaHgMr/BJtPVCJV+i6xloAnAEZuR6YwX8DLM1CbvTcpBRBDPKZbL+kLRxU1/I/M3Rpn4Iic76GATHNw==" saltValue="ugkKAM4hMUirqLZ2DRzqJ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5" t="s">
        <v>202</v>
      </c>
      <c r="C8" s="116"/>
      <c r="D8" s="117"/>
      <c r="E8" s="1"/>
      <c r="F8" s="1"/>
    </row>
    <row r="9" spans="1:6" ht="15" customHeight="1" x14ac:dyDescent="0.25">
      <c r="A9" s="1"/>
      <c r="B9" s="52" t="s">
        <v>33</v>
      </c>
      <c r="C9" s="11" t="s">
        <v>203</v>
      </c>
      <c r="D9" s="11"/>
      <c r="E9" s="1"/>
      <c r="F9" s="1"/>
    </row>
    <row r="10" spans="1:6" x14ac:dyDescent="0.25">
      <c r="A10" s="1"/>
      <c r="B10" s="63" t="s">
        <v>227</v>
      </c>
      <c r="C10" s="9">
        <v>19593396</v>
      </c>
      <c r="D10" s="14" t="s">
        <v>3</v>
      </c>
      <c r="E10" s="1"/>
      <c r="F10" s="1"/>
    </row>
    <row r="11" spans="1:6" x14ac:dyDescent="0.25">
      <c r="A11" s="1"/>
      <c r="B11" s="63" t="s">
        <v>228</v>
      </c>
      <c r="C11" s="9">
        <v>102146</v>
      </c>
      <c r="D11" s="14" t="s">
        <v>3</v>
      </c>
      <c r="E11" s="1"/>
      <c r="F11" s="1"/>
    </row>
    <row r="12" spans="1:6" x14ac:dyDescent="0.25">
      <c r="A12" s="1"/>
      <c r="B12" s="55" t="s">
        <v>204</v>
      </c>
      <c r="C12" s="12">
        <f>SUM(C10:C11)</f>
        <v>19695542</v>
      </c>
      <c r="D12" s="13" t="s">
        <v>3</v>
      </c>
      <c r="E12" s="1"/>
      <c r="F12" s="1"/>
    </row>
    <row r="13" spans="1:6" x14ac:dyDescent="0.25">
      <c r="A13" s="1"/>
      <c r="B13" s="55" t="s">
        <v>205</v>
      </c>
      <c r="C13" s="12">
        <f>C12*(1+'Fane 12. Nøgletal'!C14)^2</f>
        <v>19825747.061652385</v>
      </c>
      <c r="D13" s="13" t="s">
        <v>3</v>
      </c>
      <c r="E13" s="1"/>
      <c r="F13" s="1"/>
    </row>
    <row r="14" spans="1:6" x14ac:dyDescent="0.25">
      <c r="A14" s="1"/>
      <c r="B14" s="16"/>
      <c r="C14" s="15"/>
      <c r="D14" s="15"/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Cu58VMsmgcSWZOK68rqKLgNBuudpd+H3kFxLJkc87FXTSSVoB1RjymOPgsbB+R6aVcf0eZYCZ6cQAfrg0C8s5Q==" saltValue="/FtxxR0xcA2w/lNLD75tb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29.25" customHeight="1" x14ac:dyDescent="0.25">
      <c r="A3" s="1"/>
      <c r="B3" s="108" t="s">
        <v>220</v>
      </c>
      <c r="C3" s="108"/>
      <c r="D3" s="108"/>
      <c r="E3" s="108"/>
      <c r="F3" s="108"/>
      <c r="G3" s="1"/>
    </row>
    <row r="4" spans="1:9" ht="15" customHeight="1" x14ac:dyDescent="0.25">
      <c r="A4" s="1"/>
      <c r="B4" s="108"/>
      <c r="C4" s="108"/>
      <c r="D4" s="108"/>
      <c r="E4" s="108"/>
      <c r="F4" s="108"/>
      <c r="G4" s="1"/>
    </row>
    <row r="5" spans="1:9" ht="15" customHeight="1" x14ac:dyDescent="0.25">
      <c r="A5" s="1"/>
      <c r="B5" s="50"/>
      <c r="C5" s="50"/>
      <c r="D5" s="50"/>
      <c r="E5" s="50"/>
      <c r="F5" s="50"/>
      <c r="G5" s="1"/>
    </row>
    <row r="6" spans="1:9" ht="15" customHeight="1" x14ac:dyDescent="0.25">
      <c r="A6" s="1"/>
      <c r="B6" s="50"/>
      <c r="C6" s="50"/>
      <c r="D6" s="50"/>
      <c r="E6" s="50"/>
      <c r="F6" s="50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115" t="s">
        <v>230</v>
      </c>
      <c r="C8" s="116"/>
      <c r="D8" s="116"/>
      <c r="E8" s="116"/>
      <c r="F8" s="117"/>
      <c r="G8" s="1"/>
      <c r="I8" s="46"/>
    </row>
    <row r="9" spans="1:9" x14ac:dyDescent="0.25">
      <c r="A9" s="1"/>
      <c r="B9" s="112" t="s">
        <v>231</v>
      </c>
      <c r="C9" s="113"/>
      <c r="D9" s="114"/>
      <c r="E9" s="9">
        <v>2888523.3243410364</v>
      </c>
      <c r="F9" s="14" t="s">
        <v>3</v>
      </c>
      <c r="G9" s="1"/>
    </row>
    <row r="10" spans="1:9" x14ac:dyDescent="0.25">
      <c r="A10" s="1"/>
      <c r="B10" s="112" t="s">
        <v>232</v>
      </c>
      <c r="C10" s="113"/>
      <c r="D10" s="114"/>
      <c r="E10" s="9">
        <v>-3152409.3588836491</v>
      </c>
      <c r="F10" s="14" t="s">
        <v>3</v>
      </c>
      <c r="G10" s="1"/>
    </row>
    <row r="11" spans="1:9" x14ac:dyDescent="0.25">
      <c r="A11" s="1"/>
      <c r="B11" s="112" t="s">
        <v>233</v>
      </c>
      <c r="C11" s="113"/>
      <c r="D11" s="114"/>
      <c r="E11" s="9">
        <v>3634276.9345857948</v>
      </c>
      <c r="F11" s="14" t="s">
        <v>3</v>
      </c>
      <c r="G11" s="1"/>
    </row>
    <row r="12" spans="1:9" x14ac:dyDescent="0.25">
      <c r="A12" s="1"/>
      <c r="B12" s="112" t="s">
        <v>234</v>
      </c>
      <c r="C12" s="113"/>
      <c r="D12" s="114"/>
      <c r="E12" s="9">
        <f>IF(OR(AND(E10&gt;0,E11&lt;0),AND(E11&lt;0,E34&gt;0)),E17+E18,E11)</f>
        <v>3634276.9345857948</v>
      </c>
      <c r="F12" s="14" t="s">
        <v>3</v>
      </c>
      <c r="G12" s="1"/>
    </row>
    <row r="13" spans="1:9" x14ac:dyDescent="0.25">
      <c r="A13" s="1"/>
      <c r="B13" s="55"/>
      <c r="C13" s="56"/>
      <c r="D13" s="56"/>
      <c r="E13" s="56"/>
      <c r="F13" s="20"/>
      <c r="G13" s="1"/>
    </row>
    <row r="14" spans="1:9" ht="54.75" customHeight="1" x14ac:dyDescent="0.25">
      <c r="A14" s="1"/>
      <c r="B14" s="91" t="s">
        <v>235</v>
      </c>
      <c r="C14" s="92"/>
      <c r="D14" s="92"/>
      <c r="E14" s="92"/>
      <c r="F14" s="93"/>
      <c r="G14" s="1"/>
    </row>
    <row r="15" spans="1:9" ht="27" customHeight="1" x14ac:dyDescent="0.25">
      <c r="A15" s="1"/>
      <c r="B15" s="1"/>
      <c r="C15" s="1"/>
      <c r="D15" s="1"/>
      <c r="E15" s="1"/>
      <c r="F15" s="1"/>
      <c r="G15" s="1"/>
    </row>
    <row r="16" spans="1:9" x14ac:dyDescent="0.25">
      <c r="A16" s="1"/>
      <c r="B16" s="115" t="s">
        <v>236</v>
      </c>
      <c r="C16" s="116"/>
      <c r="D16" s="116"/>
      <c r="E16" s="116"/>
      <c r="F16" s="117"/>
      <c r="G16" s="1"/>
    </row>
    <row r="17" spans="1:7" x14ac:dyDescent="0.25">
      <c r="A17" s="1"/>
      <c r="B17" s="112" t="s">
        <v>237</v>
      </c>
      <c r="C17" s="113"/>
      <c r="D17" s="114"/>
      <c r="E17" s="9">
        <v>-131943.01727130637</v>
      </c>
      <c r="F17" s="14" t="s">
        <v>3</v>
      </c>
      <c r="G17" s="1"/>
    </row>
    <row r="18" spans="1:7" x14ac:dyDescent="0.25">
      <c r="A18" s="1"/>
      <c r="B18" s="112" t="s">
        <v>238</v>
      </c>
      <c r="C18" s="113"/>
      <c r="D18" s="114"/>
      <c r="E18" s="9">
        <v>-131943.01727130637</v>
      </c>
      <c r="F18" s="14" t="s">
        <v>3</v>
      </c>
      <c r="G18" s="1"/>
    </row>
    <row r="19" spans="1:7" x14ac:dyDescent="0.25">
      <c r="A19" s="1"/>
      <c r="B19" s="55"/>
      <c r="C19" s="56"/>
      <c r="D19" s="56"/>
      <c r="E19" s="56"/>
      <c r="F19" s="20"/>
      <c r="G19" s="1"/>
    </row>
    <row r="20" spans="1:7" ht="30" customHeight="1" x14ac:dyDescent="0.25">
      <c r="A20" s="1"/>
      <c r="B20" s="91" t="s">
        <v>239</v>
      </c>
      <c r="C20" s="92"/>
      <c r="D20" s="92"/>
      <c r="E20" s="92"/>
      <c r="F20" s="9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7" t="s">
        <v>206</v>
      </c>
      <c r="C22" s="58"/>
      <c r="D22" s="58"/>
      <c r="E22" s="58"/>
      <c r="F22" s="59"/>
      <c r="G22" s="1"/>
    </row>
    <row r="23" spans="1:7" x14ac:dyDescent="0.25">
      <c r="A23" s="1"/>
      <c r="B23" s="60" t="s">
        <v>207</v>
      </c>
      <c r="C23" s="61"/>
      <c r="D23" s="62"/>
      <c r="E23" s="9">
        <v>50351787.76438795</v>
      </c>
      <c r="F23" s="14" t="s">
        <v>3</v>
      </c>
      <c r="G23" s="1"/>
    </row>
    <row r="24" spans="1:7" x14ac:dyDescent="0.25">
      <c r="A24" s="1"/>
      <c r="B24" s="60" t="s">
        <v>208</v>
      </c>
      <c r="C24" s="61"/>
      <c r="D24" s="62"/>
      <c r="E24" s="9">
        <v>47847708</v>
      </c>
      <c r="F24" s="14" t="s">
        <v>3</v>
      </c>
      <c r="G24" s="1"/>
    </row>
    <row r="25" spans="1:7" x14ac:dyDescent="0.25">
      <c r="A25" s="1"/>
      <c r="B25" s="60" t="s">
        <v>34</v>
      </c>
      <c r="C25" s="61"/>
      <c r="D25" s="62"/>
      <c r="E25" s="9">
        <v>0</v>
      </c>
      <c r="F25" s="14" t="s">
        <v>3</v>
      </c>
      <c r="G25" s="1"/>
    </row>
    <row r="26" spans="1:7" x14ac:dyDescent="0.25">
      <c r="A26" s="1"/>
      <c r="B26" s="64" t="s">
        <v>247</v>
      </c>
      <c r="C26" s="65"/>
      <c r="D26" s="66"/>
      <c r="E26" s="45">
        <f>E23-(E24-E25)</f>
        <v>2504079.7643879503</v>
      </c>
      <c r="F26" s="17" t="s">
        <v>3</v>
      </c>
      <c r="G26" s="1"/>
    </row>
    <row r="27" spans="1:7" x14ac:dyDescent="0.25">
      <c r="A27" s="1"/>
      <c r="B27" s="55"/>
      <c r="C27" s="56"/>
      <c r="D27" s="56"/>
      <c r="E27" s="56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240</v>
      </c>
      <c r="C29" s="116"/>
      <c r="D29" s="116"/>
      <c r="E29" s="116"/>
      <c r="F29" s="117"/>
      <c r="G29" s="1"/>
    </row>
    <row r="30" spans="1:7" x14ac:dyDescent="0.25">
      <c r="A30" s="1"/>
      <c r="B30" s="136" t="s">
        <v>241</v>
      </c>
      <c r="C30" s="137"/>
      <c r="D30" s="138"/>
      <c r="E30" s="10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25">
      <c r="A31" s="1"/>
      <c r="B31" s="115"/>
      <c r="C31" s="116"/>
      <c r="D31" s="116"/>
      <c r="E31" s="116"/>
      <c r="F31" s="117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5" t="s">
        <v>242</v>
      </c>
      <c r="C33" s="116"/>
      <c r="D33" s="116"/>
      <c r="E33" s="116"/>
      <c r="F33" s="117"/>
      <c r="G33" s="1"/>
    </row>
    <row r="34" spans="1:7" x14ac:dyDescent="0.25">
      <c r="A34" s="1"/>
      <c r="B34" s="130" t="s">
        <v>248</v>
      </c>
      <c r="C34" s="131"/>
      <c r="D34" s="132"/>
      <c r="E34" s="9">
        <v>0</v>
      </c>
      <c r="F34" s="14"/>
      <c r="G34" s="1"/>
    </row>
    <row r="35" spans="1:7" x14ac:dyDescent="0.25">
      <c r="A35" s="1"/>
      <c r="B35" s="130" t="s">
        <v>161</v>
      </c>
      <c r="C35" s="131"/>
      <c r="D35" s="132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0" t="s">
        <v>110</v>
      </c>
      <c r="C36" s="131"/>
      <c r="D36" s="132"/>
      <c r="E36" s="9">
        <v>4</v>
      </c>
      <c r="F36" s="14" t="s">
        <v>19</v>
      </c>
      <c r="G36" s="1"/>
    </row>
    <row r="37" spans="1:7" x14ac:dyDescent="0.25">
      <c r="A37" s="1"/>
      <c r="B37" s="139" t="s">
        <v>160</v>
      </c>
      <c r="C37" s="139"/>
      <c r="D37" s="139"/>
      <c r="E37" s="10">
        <f>E35/E36</f>
        <v>0</v>
      </c>
      <c r="F37" s="17" t="s">
        <v>3</v>
      </c>
      <c r="G37" s="1"/>
    </row>
    <row r="38" spans="1:7" x14ac:dyDescent="0.25">
      <c r="A38" s="1"/>
      <c r="B38" s="133"/>
      <c r="C38" s="134"/>
      <c r="D38" s="134"/>
      <c r="E38" s="134"/>
      <c r="F38" s="135"/>
      <c r="G38" s="1"/>
    </row>
    <row r="39" spans="1:7" ht="75" customHeight="1" x14ac:dyDescent="0.25">
      <c r="A39" s="1"/>
      <c r="B39" s="91" t="s">
        <v>246</v>
      </c>
      <c r="C39" s="92"/>
      <c r="D39" s="92"/>
      <c r="E39" s="92"/>
      <c r="F39" s="9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ZO3M2Dwh9pC5NPcuDR7UB22rTm0frIF2dp1eaqgrEw3Kz33MgREivm5U5D1ivdLbfisfUbrbjPmY+0zWTsJy5A==" saltValue="Y57xiLP5GpmTTDM595whbA==" spinCount="100000" sheet="1" objects="1" scenarios="1"/>
  <mergeCells count="21">
    <mergeCell ref="B38:F38"/>
    <mergeCell ref="B39:F39"/>
    <mergeCell ref="B29:F29"/>
    <mergeCell ref="B30:D30"/>
    <mergeCell ref="B3:F4"/>
    <mergeCell ref="B17:D17"/>
    <mergeCell ref="B9:D9"/>
    <mergeCell ref="B8:F8"/>
    <mergeCell ref="B10:D10"/>
    <mergeCell ref="B37:D37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157</v>
      </c>
      <c r="C8" s="116"/>
      <c r="D8" s="116"/>
      <c r="E8" s="116"/>
      <c r="F8" s="116"/>
      <c r="G8" s="116"/>
      <c r="H8" s="11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49"/>
      <c r="I9" s="1"/>
    </row>
    <row r="10" spans="1:9" x14ac:dyDescent="0.25">
      <c r="A10" s="1"/>
      <c r="B10" s="68" t="s">
        <v>249</v>
      </c>
      <c r="C10" s="69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5" t="s">
        <v>158</v>
      </c>
      <c r="C11" s="116"/>
      <c r="D11" s="11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z/bDWtu7BleXE4cdzBXhBFEf0AhUL4Rt36VQ5u2R2OosQM7DcgF6rUAEzxNXsKtzIYXQg5LAvU7L9Hi5gAyZoQ==" saltValue="top5jEwXGAjHO2srJY0IZ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84</v>
      </c>
      <c r="C8" s="56"/>
      <c r="D8" s="56"/>
      <c r="E8" s="56"/>
      <c r="F8" s="20"/>
      <c r="G8" s="1"/>
    </row>
    <row r="9" spans="1:7" ht="17.25" customHeight="1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55" t="s">
        <v>136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5" t="s">
        <v>209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FuHEGUOfM0Vagj5bTm8ovSIF2hCvJPiOYOt1/8qYD8qd4XLa+91xULOhNJwpAgFCyHT6e8paS/AAZC0GwPjdVQ==" saltValue="GG04LozEVWuoshQ3Yb0NY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102</v>
      </c>
      <c r="C8" s="116"/>
      <c r="D8" s="116"/>
      <c r="E8" s="116"/>
      <c r="F8" s="117"/>
      <c r="G8" s="1"/>
    </row>
    <row r="9" spans="1:7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245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5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103</v>
      </c>
      <c r="C16" s="116"/>
      <c r="D16" s="116"/>
      <c r="E16" s="116"/>
      <c r="F16" s="117"/>
      <c r="G16" s="1"/>
    </row>
    <row r="17" spans="1:7" x14ac:dyDescent="0.25">
      <c r="A17" s="1"/>
      <c r="B17" s="53" t="s">
        <v>16</v>
      </c>
      <c r="C17" s="53" t="s">
        <v>11</v>
      </c>
      <c r="D17" s="54"/>
      <c r="E17" s="53" t="s">
        <v>32</v>
      </c>
      <c r="F17" s="49"/>
      <c r="G17" s="1"/>
    </row>
    <row r="18" spans="1:7" x14ac:dyDescent="0.25">
      <c r="A18" s="1"/>
      <c r="B18" s="25" t="s">
        <v>245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5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5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5" t="s">
        <v>138</v>
      </c>
      <c r="C24" s="116"/>
      <c r="D24" s="116"/>
      <c r="E24" s="116"/>
      <c r="F24" s="117"/>
      <c r="G24" s="1"/>
    </row>
    <row r="25" spans="1:7" x14ac:dyDescent="0.25">
      <c r="A25" s="1"/>
      <c r="B25" s="53" t="s">
        <v>16</v>
      </c>
      <c r="C25" s="53" t="s">
        <v>11</v>
      </c>
      <c r="D25" s="54"/>
      <c r="E25" s="53" t="s">
        <v>32</v>
      </c>
      <c r="F25" s="49"/>
      <c r="G25" s="1"/>
    </row>
    <row r="26" spans="1:7" x14ac:dyDescent="0.25">
      <c r="A26" s="1"/>
      <c r="B26" s="25" t="s">
        <v>245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5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5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5" t="s">
        <v>211</v>
      </c>
      <c r="C32" s="116"/>
      <c r="D32" s="116"/>
      <c r="E32" s="116"/>
      <c r="F32" s="117"/>
      <c r="G32" s="1"/>
    </row>
    <row r="33" spans="1:7" x14ac:dyDescent="0.25">
      <c r="A33" s="1"/>
      <c r="B33" s="53" t="s">
        <v>16</v>
      </c>
      <c r="C33" s="53" t="s">
        <v>11</v>
      </c>
      <c r="D33" s="54"/>
      <c r="E33" s="53" t="s">
        <v>32</v>
      </c>
      <c r="F33" s="49"/>
      <c r="G33" s="1"/>
    </row>
    <row r="34" spans="1:7" x14ac:dyDescent="0.25">
      <c r="A34" s="1"/>
      <c r="B34" s="25" t="s">
        <v>245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5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5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umM//Yio5jl984yhRAqkvgdqAmBAEbijNBg17nP5Qlhu9lsepIW8IvKlFSApc5Q28ppSom6AIBe4hlTls1SO/w==" saltValue="5tQDjF7vsVfXLE3vPA/Cn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166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130</v>
      </c>
      <c r="C8" s="116"/>
      <c r="D8" s="116"/>
      <c r="E8" s="116"/>
      <c r="F8" s="117"/>
      <c r="G8" s="1"/>
    </row>
    <row r="9" spans="1:7" ht="15" customHeight="1" x14ac:dyDescent="0.25">
      <c r="A9" s="1"/>
      <c r="B9" s="48" t="s">
        <v>131</v>
      </c>
      <c r="C9" s="100" t="s">
        <v>11</v>
      </c>
      <c r="D9" s="102"/>
      <c r="E9" s="100" t="s">
        <v>32</v>
      </c>
      <c r="F9" s="102"/>
      <c r="G9" s="1"/>
    </row>
    <row r="10" spans="1:7" x14ac:dyDescent="0.25">
      <c r="A10" s="1"/>
      <c r="B10" s="25" t="s">
        <v>226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qhEUmcEWaUKm5rr72dR5LO7uXch2uyv6CYDyg7o6Ukr+jBia0AqXoEI3eSFIQJUo7/Zxr/oeKCF1oRXx886gtQ==" saltValue="GJdc6MsKLO7aLQ/JhIZfM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165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98</v>
      </c>
      <c r="C8" s="116"/>
      <c r="D8" s="116"/>
      <c r="E8" s="116"/>
      <c r="F8" s="117"/>
      <c r="G8" s="1"/>
    </row>
    <row r="9" spans="1:7" ht="15" customHeight="1" x14ac:dyDescent="0.25">
      <c r="A9" s="1"/>
      <c r="B9" s="48" t="s">
        <v>17</v>
      </c>
      <c r="C9" s="48" t="s">
        <v>11</v>
      </c>
      <c r="D9" s="49"/>
      <c r="E9" s="48" t="s">
        <v>32</v>
      </c>
      <c r="F9" s="49"/>
      <c r="G9" s="1"/>
    </row>
    <row r="10" spans="1:7" x14ac:dyDescent="0.25">
      <c r="A10" s="1"/>
      <c r="B10" s="25" t="s">
        <v>229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5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5" t="s">
        <v>99</v>
      </c>
      <c r="C15" s="116"/>
      <c r="D15" s="116"/>
      <c r="E15" s="116"/>
      <c r="F15" s="117"/>
      <c r="G15" s="1"/>
    </row>
    <row r="16" spans="1:7" ht="26.25" x14ac:dyDescent="0.25">
      <c r="A16" s="1"/>
      <c r="B16" s="48" t="s">
        <v>17</v>
      </c>
      <c r="C16" s="48" t="s">
        <v>11</v>
      </c>
      <c r="D16" s="49"/>
      <c r="E16" s="48" t="s">
        <v>32</v>
      </c>
      <c r="F16" s="49"/>
      <c r="G16" s="1"/>
    </row>
    <row r="17" spans="1:7" x14ac:dyDescent="0.25">
      <c r="A17" s="1"/>
      <c r="B17" s="25" t="s">
        <v>229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5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5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5" t="s">
        <v>142</v>
      </c>
      <c r="C22" s="116"/>
      <c r="D22" s="116"/>
      <c r="E22" s="116"/>
      <c r="F22" s="117"/>
      <c r="G22" s="1"/>
    </row>
    <row r="23" spans="1:7" ht="26.25" x14ac:dyDescent="0.25">
      <c r="A23" s="1"/>
      <c r="B23" s="48" t="s">
        <v>17</v>
      </c>
      <c r="C23" s="48" t="s">
        <v>11</v>
      </c>
      <c r="D23" s="49"/>
      <c r="E23" s="48" t="s">
        <v>32</v>
      </c>
      <c r="F23" s="49"/>
      <c r="G23" s="1"/>
    </row>
    <row r="24" spans="1:7" x14ac:dyDescent="0.25">
      <c r="A24" s="1"/>
      <c r="B24" s="25" t="s">
        <v>229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5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5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214</v>
      </c>
      <c r="C29" s="116"/>
      <c r="D29" s="116"/>
      <c r="E29" s="116"/>
      <c r="F29" s="117"/>
      <c r="G29" s="1"/>
    </row>
    <row r="30" spans="1:7" ht="26.25" x14ac:dyDescent="0.25">
      <c r="A30" s="1"/>
      <c r="B30" s="48" t="s">
        <v>17</v>
      </c>
      <c r="C30" s="48" t="s">
        <v>11</v>
      </c>
      <c r="D30" s="49"/>
      <c r="E30" s="48" t="s">
        <v>32</v>
      </c>
      <c r="F30" s="49"/>
      <c r="G30" s="1"/>
    </row>
    <row r="31" spans="1:7" x14ac:dyDescent="0.25">
      <c r="A31" s="1"/>
      <c r="B31" s="25" t="s">
        <v>229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5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5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zyx+BDUt97r+8kbh1lSZ7zhgNU4NX8EHRuItW4hY9bAs/U2sNqDuK4JLqekTmAk/gvTnSY/gW7uUR2p6vIYFEA==" saltValue="eTCJoJGBummP08UHDhDQf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8" t="s">
        <v>164</v>
      </c>
      <c r="C3" s="108"/>
      <c r="D3" s="1"/>
    </row>
    <row r="4" spans="1:4" ht="25.5" customHeight="1" x14ac:dyDescent="0.25">
      <c r="A4" s="1"/>
      <c r="B4" s="108"/>
      <c r="C4" s="10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5" t="s">
        <v>14</v>
      </c>
      <c r="C8" s="20"/>
      <c r="D8" s="1"/>
    </row>
    <row r="9" spans="1:4" x14ac:dyDescent="0.25">
      <c r="A9" s="1"/>
      <c r="B9" s="63" t="s">
        <v>118</v>
      </c>
      <c r="C9" s="26">
        <v>1.2699999999999999E-2</v>
      </c>
      <c r="D9" s="1"/>
    </row>
    <row r="10" spans="1:4" x14ac:dyDescent="0.25">
      <c r="A10" s="1"/>
      <c r="B10" s="63" t="s">
        <v>22</v>
      </c>
      <c r="C10" s="26">
        <v>1.7500000000000002E-2</v>
      </c>
      <c r="D10" s="1"/>
    </row>
    <row r="11" spans="1:4" x14ac:dyDescent="0.25">
      <c r="A11" s="1"/>
      <c r="B11" s="63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216</v>
      </c>
      <c r="C14" s="70">
        <v>3.3E-3</v>
      </c>
      <c r="D14" s="1"/>
    </row>
    <row r="15" spans="1:4" x14ac:dyDescent="0.25">
      <c r="A15" s="1"/>
      <c r="B15" s="115"/>
      <c r="C15" s="117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5" t="s">
        <v>106</v>
      </c>
      <c r="C18" s="20"/>
      <c r="D18" s="1"/>
    </row>
    <row r="19" spans="1:4" x14ac:dyDescent="0.25">
      <c r="A19" s="1"/>
      <c r="B19" s="63" t="s">
        <v>120</v>
      </c>
      <c r="C19" s="23">
        <v>9.1000000000000004E-3</v>
      </c>
      <c r="D19" s="1"/>
    </row>
    <row r="20" spans="1:4" x14ac:dyDescent="0.25">
      <c r="A20" s="1"/>
      <c r="B20" s="63" t="s">
        <v>121</v>
      </c>
      <c r="C20" s="23">
        <v>1.77E-2</v>
      </c>
      <c r="D20" s="1"/>
    </row>
    <row r="21" spans="1:4" x14ac:dyDescent="0.25">
      <c r="A21" s="1"/>
      <c r="B21" s="63" t="s">
        <v>122</v>
      </c>
      <c r="C21" s="23">
        <v>8.6999999999999994E-3</v>
      </c>
      <c r="D21" s="1"/>
    </row>
    <row r="22" spans="1:4" x14ac:dyDescent="0.25">
      <c r="A22" s="1"/>
      <c r="B22" s="63" t="s">
        <v>123</v>
      </c>
      <c r="C22" s="35">
        <v>2.8400000000000002E-2</v>
      </c>
      <c r="D22" s="1"/>
    </row>
    <row r="23" spans="1:4" x14ac:dyDescent="0.25">
      <c r="A23" s="1"/>
      <c r="B23" s="63" t="s">
        <v>146</v>
      </c>
      <c r="C23" s="35">
        <v>2.75E-2</v>
      </c>
      <c r="D23" s="1"/>
    </row>
    <row r="24" spans="1:4" x14ac:dyDescent="0.25">
      <c r="A24" s="1"/>
      <c r="B24" s="63" t="s">
        <v>217</v>
      </c>
      <c r="C24" s="35">
        <v>1.4800000000000001E-2</v>
      </c>
      <c r="D24" s="1"/>
    </row>
    <row r="25" spans="1:4" x14ac:dyDescent="0.25">
      <c r="A25" s="1"/>
      <c r="B25" s="55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5" t="s">
        <v>107</v>
      </c>
      <c r="C28" s="20"/>
      <c r="D28" s="1"/>
    </row>
    <row r="29" spans="1:4" x14ac:dyDescent="0.25">
      <c r="A29" s="1"/>
      <c r="B29" s="63" t="s">
        <v>124</v>
      </c>
      <c r="C29" s="26">
        <v>0.02</v>
      </c>
      <c r="D29" s="1"/>
    </row>
    <row r="30" spans="1:4" x14ac:dyDescent="0.25">
      <c r="A30" s="1"/>
      <c r="B30" s="55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jp1sUIHgqjMaNpOhlyAs37zatZQkShTqogM+FcbXkPtMFbeWTH2U/4vuFzgm0YMnLT+87kTXkffxZyrNcsKwmA==" saltValue="08PpLgJ1kDJnChxNbkuOAw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183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x14ac:dyDescent="0.25">
      <c r="A9" s="1"/>
      <c r="B9" s="51" t="s">
        <v>24</v>
      </c>
      <c r="C9" s="7">
        <f>'Fane 3. Omkostninger i ØR2021'!E20</f>
        <v>25600824.625362467</v>
      </c>
      <c r="D9" s="8" t="s">
        <v>3</v>
      </c>
      <c r="E9" s="1"/>
    </row>
    <row r="10" spans="1:5" x14ac:dyDescent="0.25">
      <c r="A10" s="1"/>
      <c r="B10" s="47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0</v>
      </c>
      <c r="D10" s="8" t="s">
        <v>3</v>
      </c>
      <c r="E10" s="1"/>
    </row>
    <row r="11" spans="1:5" x14ac:dyDescent="0.25">
      <c r="A11" s="1"/>
      <c r="B11" s="47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0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tillæg'!C12</f>
        <v>0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tillæg'!E12</f>
        <v>0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312330.06042942213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-52518.175189518173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-205674.40765400373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-459163.05787558749</v>
      </c>
      <c r="D21" s="8" t="s">
        <v>3</v>
      </c>
      <c r="E21" s="1"/>
    </row>
    <row r="22" spans="1:5" ht="17.100000000000001" customHeight="1" x14ac:dyDescent="0.25">
      <c r="A22" s="1"/>
      <c r="B22" s="64" t="s">
        <v>20</v>
      </c>
      <c r="C22" s="10">
        <f>SUM(C9,C12:C21)</f>
        <v>25195799.045072779</v>
      </c>
      <c r="D22" s="11" t="s">
        <v>3</v>
      </c>
      <c r="E22" s="1"/>
    </row>
    <row r="23" spans="1:5" ht="15" customHeight="1" x14ac:dyDescent="0.25">
      <c r="A23" s="1"/>
      <c r="B23" s="55" t="s">
        <v>12</v>
      </c>
      <c r="C23" s="56"/>
      <c r="D23" s="20"/>
      <c r="E23" s="1"/>
    </row>
    <row r="24" spans="1:5" ht="15" customHeight="1" x14ac:dyDescent="0.25">
      <c r="A24" s="1"/>
      <c r="B24" s="48" t="s">
        <v>12</v>
      </c>
      <c r="C24" s="10">
        <f>'Fane 6. Ikke-påvirkelige omk.'!C13</f>
        <v>19825747.061652385</v>
      </c>
      <c r="D24" s="11" t="s">
        <v>3</v>
      </c>
      <c r="E24" s="1"/>
    </row>
    <row r="25" spans="1:5" ht="15" customHeight="1" x14ac:dyDescent="0.25">
      <c r="A25" s="1"/>
      <c r="B25" s="55" t="s">
        <v>89</v>
      </c>
      <c r="C25" s="56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4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6"/>
      <c r="D29" s="20"/>
      <c r="E29" s="1"/>
    </row>
    <row r="30" spans="1:5" x14ac:dyDescent="0.25">
      <c r="A30" s="1"/>
      <c r="B30" s="67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224</v>
      </c>
      <c r="C31" s="56"/>
      <c r="D31" s="20"/>
      <c r="E31" s="1"/>
    </row>
    <row r="32" spans="1:5" x14ac:dyDescent="0.25">
      <c r="A32" s="1"/>
      <c r="B32" s="67" t="s">
        <v>225</v>
      </c>
      <c r="C32" s="10">
        <v>0</v>
      </c>
      <c r="D32" s="11" t="s">
        <v>3</v>
      </c>
      <c r="E32" s="1"/>
    </row>
    <row r="33" spans="1:5" x14ac:dyDescent="0.25">
      <c r="A33" s="1"/>
      <c r="B33" s="55" t="s">
        <v>30</v>
      </c>
      <c r="C33" s="31">
        <f>SUM(C22,C24,C28,C30,C32)</f>
        <v>45021546.106725164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JnHFtH2y+Pid7qK90fuMP+9RuoOfZ1529ZEZd/oRVrX9JH+ulYp3Eqj/7OxEFCsad7I7rYdkepYMbSojulpimg==" saltValue="MzMVnLaJXMsRallWqf3Lr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ht="15" customHeight="1" x14ac:dyDescent="0.25">
      <c r="A9" s="1"/>
      <c r="B9" s="51" t="s">
        <v>134</v>
      </c>
      <c r="C9" s="7">
        <f>'Fane 2.1. Økonomisk ramme 2022'!C22</f>
        <v>25195799.045072779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7" t="s">
        <v>18</v>
      </c>
      <c r="C12" s="9">
        <f>SUM(C9:C11)*'Fane 12. Nøgletal'!C14</f>
        <v>83146.136848740163</v>
      </c>
      <c r="D12" s="8" t="s">
        <v>3</v>
      </c>
      <c r="E12" s="1"/>
    </row>
    <row r="13" spans="1:5" ht="15" customHeight="1" x14ac:dyDescent="0.25">
      <c r="A13" s="1"/>
      <c r="B13" s="47" t="s">
        <v>9</v>
      </c>
      <c r="C13" s="9">
        <f>-SUM(C9:C12)*'Fane 5. Individuelt eff. krav'!G10</f>
        <v>-51232.823165228212</v>
      </c>
      <c r="D13" s="8" t="s">
        <v>3</v>
      </c>
      <c r="E13" s="1"/>
    </row>
    <row r="14" spans="1:5" ht="15" customHeight="1" x14ac:dyDescent="0.25">
      <c r="A14" s="1"/>
      <c r="B14" s="47" t="s">
        <v>25</v>
      </c>
      <c r="C14" s="9">
        <f>-'Fane 4.1. Gen. krav - drift'!G44</f>
        <v>-202226.07053527673</v>
      </c>
      <c r="D14" s="8" t="s">
        <v>3</v>
      </c>
      <c r="E14" s="1"/>
    </row>
    <row r="15" spans="1:5" ht="15" customHeight="1" x14ac:dyDescent="0.25">
      <c r="A15" s="1"/>
      <c r="B15" s="47" t="s">
        <v>26</v>
      </c>
      <c r="C15" s="9">
        <f>-'Fane 4.2. Gen. krav - anlæg'!G44</f>
        <v>-241110.64413988884</v>
      </c>
      <c r="D15" s="8" t="s">
        <v>3</v>
      </c>
      <c r="E15" s="1"/>
    </row>
    <row r="16" spans="1:5" ht="15" customHeight="1" x14ac:dyDescent="0.25">
      <c r="A16" s="1"/>
      <c r="B16" s="52" t="s">
        <v>20</v>
      </c>
      <c r="C16" s="10">
        <f>SUM(C9:C15)</f>
        <v>24784375.644081127</v>
      </c>
      <c r="D16" s="11" t="s">
        <v>3</v>
      </c>
      <c r="E16" s="1"/>
    </row>
    <row r="17" spans="1:5" x14ac:dyDescent="0.25">
      <c r="A17" s="1"/>
      <c r="B17" s="55" t="s">
        <v>12</v>
      </c>
      <c r="C17" s="56"/>
      <c r="D17" s="20"/>
      <c r="E17" s="1"/>
    </row>
    <row r="18" spans="1:5" ht="15" customHeight="1" x14ac:dyDescent="0.25">
      <c r="A18" s="1"/>
      <c r="B18" s="48" t="s">
        <v>12</v>
      </c>
      <c r="C18" s="10">
        <f>'Fane 6. Ikke-påvirkelige omk.'!C13*(1+'Fane 12. Nøgletal'!C14)</f>
        <v>19891172.026955839</v>
      </c>
      <c r="D18" s="11" t="s">
        <v>3</v>
      </c>
      <c r="E18" s="1"/>
    </row>
    <row r="19" spans="1:5" ht="15" customHeight="1" x14ac:dyDescent="0.25">
      <c r="A19" s="1"/>
      <c r="B19" s="55" t="s">
        <v>89</v>
      </c>
      <c r="C19" s="56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4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6"/>
      <c r="D23" s="20"/>
      <c r="E23" s="1"/>
    </row>
    <row r="24" spans="1:5" ht="15" customHeight="1" x14ac:dyDescent="0.25">
      <c r="A24" s="1"/>
      <c r="B24" s="67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224</v>
      </c>
      <c r="C25" s="56"/>
      <c r="D25" s="20"/>
      <c r="E25" s="1"/>
    </row>
    <row r="26" spans="1:5" x14ac:dyDescent="0.25">
      <c r="A26" s="1"/>
      <c r="B26" s="67" t="s">
        <v>225</v>
      </c>
      <c r="C26" s="10">
        <v>0</v>
      </c>
      <c r="D26" s="11" t="s">
        <v>3</v>
      </c>
      <c r="E26" s="1"/>
    </row>
    <row r="27" spans="1:5" x14ac:dyDescent="0.25">
      <c r="A27" s="1"/>
      <c r="B27" s="55" t="s">
        <v>97</v>
      </c>
      <c r="C27" s="12">
        <f>SUM(C16,C18,C22,C24,C26)</f>
        <v>44675547.671036966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XpXYUq83X1IC93FrfW0hEp2tjcZB1swcOCzFnXHbRw593q87KDgRy4D0Ym0WUQR4/ocsYf0chMSR3EK614+SiQ==" saltValue="JVIthdDTsKAc71Em9V2PA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135</v>
      </c>
      <c r="C8" s="7">
        <f>'Fane 2.2. Økonomisk ramme 2023'!C16</f>
        <v>24784375.644081127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81788.439625467712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-50396.239958982806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drift'!G50</f>
        <v>-198835.54823668231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43">
        <f>-'Fane 4.2. Gen. krav - anlæg'!G50</f>
        <v>-238326.09588842033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24378606.199622508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omk.'!C13*(1+'Fane 12. Nøgletal'!C14)^2</f>
        <v>19956812.894644793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224</v>
      </c>
      <c r="C24" s="56"/>
      <c r="D24" s="20"/>
      <c r="E24" s="1"/>
    </row>
    <row r="25" spans="1:5" ht="15" customHeight="1" x14ac:dyDescent="0.25">
      <c r="A25" s="1"/>
      <c r="B25" s="67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186</v>
      </c>
      <c r="C26" s="12">
        <f>SUM(C15,C17,C21,C23,C25)</f>
        <v>44335419.094267301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2IaEjblD2gzZk8NIIRvV5Yj3Rt7fZKV4T8tm800tzYUAqiAlW06f+Yf06BXQ1aCHVuXmvwZ0eRvAcTq0F+j1YA==" saltValue="2FNy2TchmAwVhxhIpJhzv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187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188</v>
      </c>
      <c r="C8" s="7">
        <f>'Fane 2.3. Økonomisk ramme 2024'!C15</f>
        <v>24378606.199622508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80449.400458754273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-49571.153437352252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drift'!G56</f>
        <v>-195501.87143494611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9">
        <f>-'Fane 4.2. Gen. krav - anlæg'!G56</f>
        <v>-235573.70593918028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23978408.869269781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omk.'!C13*(1+'Fane 12. Nøgletal'!C14)^3</f>
        <v>20022670.377197124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224</v>
      </c>
      <c r="C24" s="56"/>
      <c r="D24" s="20"/>
      <c r="E24" s="1"/>
    </row>
    <row r="25" spans="1:5" x14ac:dyDescent="0.25">
      <c r="A25" s="1"/>
      <c r="B25" s="67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189</v>
      </c>
      <c r="C26" s="12">
        <f>SUM(C15,C17,C21,C23,C25)</f>
        <v>44001079.246466905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ERZqeQQyNLooKQH/nCkn0+ZzqU9zoubIHlhzY32AOp0zkLOi4Em4Q3bOdugh6bfrbOBl7VAZgS9Rplk+btUboA==" saltValue="JYevlYYKNIT2Ef9jzoxQp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190</v>
      </c>
      <c r="C3" s="108"/>
      <c r="D3" s="108"/>
      <c r="E3" s="108"/>
      <c r="F3" s="108"/>
      <c r="G3" s="1"/>
    </row>
    <row r="4" spans="1:7" ht="29.2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223</v>
      </c>
      <c r="C8" s="56"/>
      <c r="D8" s="56"/>
      <c r="E8" s="56"/>
      <c r="F8" s="20"/>
      <c r="G8" s="1"/>
    </row>
    <row r="9" spans="1:7" x14ac:dyDescent="0.25">
      <c r="A9" s="1"/>
      <c r="B9" s="109" t="s">
        <v>23</v>
      </c>
      <c r="C9" s="110"/>
      <c r="D9" s="111"/>
      <c r="E9" s="7">
        <v>26010652.179291546</v>
      </c>
      <c r="F9" s="8" t="s">
        <v>3</v>
      </c>
      <c r="G9" s="1"/>
    </row>
    <row r="10" spans="1:7" ht="15" customHeight="1" x14ac:dyDescent="0.25">
      <c r="A10" s="1"/>
      <c r="B10" s="94" t="s">
        <v>40</v>
      </c>
      <c r="C10" s="95"/>
      <c r="D10" s="96"/>
      <c r="E10" s="9">
        <v>0</v>
      </c>
      <c r="F10" s="8" t="s">
        <v>3</v>
      </c>
      <c r="G10" s="1"/>
    </row>
    <row r="11" spans="1:7" ht="15" customHeight="1" x14ac:dyDescent="0.25">
      <c r="A11" s="1"/>
      <c r="B11" s="94" t="s">
        <v>41</v>
      </c>
      <c r="C11" s="95"/>
      <c r="D11" s="96"/>
      <c r="E11" s="9">
        <v>0</v>
      </c>
      <c r="F11" s="8" t="s">
        <v>3</v>
      </c>
      <c r="G11" s="1"/>
    </row>
    <row r="12" spans="1:7" x14ac:dyDescent="0.25">
      <c r="A12" s="1"/>
      <c r="B12" s="94" t="s">
        <v>28</v>
      </c>
      <c r="C12" s="95"/>
      <c r="D12" s="96"/>
      <c r="E12" s="9">
        <v>0</v>
      </c>
      <c r="F12" s="8" t="s">
        <v>3</v>
      </c>
      <c r="G12" s="1"/>
    </row>
    <row r="13" spans="1:7" x14ac:dyDescent="0.25">
      <c r="A13" s="1"/>
      <c r="B13" s="94" t="s">
        <v>27</v>
      </c>
      <c r="C13" s="95"/>
      <c r="D13" s="96"/>
      <c r="E13" s="9">
        <v>0</v>
      </c>
      <c r="F13" s="8" t="s">
        <v>3</v>
      </c>
      <c r="G13" s="1"/>
    </row>
    <row r="14" spans="1:7" x14ac:dyDescent="0.25">
      <c r="A14" s="1"/>
      <c r="B14" s="94" t="s">
        <v>132</v>
      </c>
      <c r="C14" s="95"/>
      <c r="D14" s="96"/>
      <c r="E14" s="9">
        <v>0</v>
      </c>
      <c r="F14" s="8" t="s">
        <v>3</v>
      </c>
      <c r="G14" s="1"/>
    </row>
    <row r="15" spans="1:7" x14ac:dyDescent="0.25">
      <c r="A15" s="1"/>
      <c r="B15" s="94" t="s">
        <v>133</v>
      </c>
      <c r="C15" s="95"/>
      <c r="D15" s="96"/>
      <c r="E15" s="9">
        <v>0</v>
      </c>
      <c r="F15" s="8" t="s">
        <v>3</v>
      </c>
      <c r="G15" s="1"/>
    </row>
    <row r="16" spans="1:7" x14ac:dyDescent="0.25">
      <c r="A16" s="1"/>
      <c r="B16" s="94" t="s">
        <v>18</v>
      </c>
      <c r="C16" s="95"/>
      <c r="D16" s="96"/>
      <c r="E16" s="9">
        <v>317329.95658735686</v>
      </c>
      <c r="F16" s="8" t="s">
        <v>3</v>
      </c>
      <c r="G16" s="1"/>
    </row>
    <row r="17" spans="1:7" x14ac:dyDescent="0.25">
      <c r="A17" s="1"/>
      <c r="B17" s="94" t="s">
        <v>9</v>
      </c>
      <c r="C17" s="95"/>
      <c r="D17" s="96"/>
      <c r="E17" s="9">
        <v>-53358.905735885659</v>
      </c>
      <c r="F17" s="8" t="s">
        <v>3</v>
      </c>
      <c r="G17" s="1"/>
    </row>
    <row r="18" spans="1:7" x14ac:dyDescent="0.25">
      <c r="A18" s="1"/>
      <c r="B18" s="94" t="s">
        <v>25</v>
      </c>
      <c r="C18" s="95"/>
      <c r="D18" s="96"/>
      <c r="E18" s="9">
        <v>-207342.26886475179</v>
      </c>
      <c r="F18" s="8" t="s">
        <v>3</v>
      </c>
      <c r="G18" s="1"/>
    </row>
    <row r="19" spans="1:7" x14ac:dyDescent="0.25">
      <c r="A19" s="1"/>
      <c r="B19" s="94" t="s">
        <v>26</v>
      </c>
      <c r="C19" s="95"/>
      <c r="D19" s="96"/>
      <c r="E19" s="9">
        <v>-466456.33591579896</v>
      </c>
      <c r="F19" s="8" t="s">
        <v>3</v>
      </c>
      <c r="G19" s="1"/>
    </row>
    <row r="20" spans="1:7" x14ac:dyDescent="0.25">
      <c r="A20" s="1"/>
      <c r="B20" s="97" t="s">
        <v>20</v>
      </c>
      <c r="C20" s="98"/>
      <c r="D20" s="99"/>
      <c r="E20" s="10">
        <f>SUM(E9:E19)</f>
        <v>25600824.625362467</v>
      </c>
      <c r="F20" s="11" t="s">
        <v>3</v>
      </c>
      <c r="G20" s="1"/>
    </row>
    <row r="21" spans="1:7" x14ac:dyDescent="0.25">
      <c r="A21" s="1"/>
      <c r="B21" s="55" t="s">
        <v>12</v>
      </c>
      <c r="C21" s="56"/>
      <c r="D21" s="56"/>
      <c r="E21" s="56"/>
      <c r="F21" s="20"/>
      <c r="G21" s="1"/>
    </row>
    <row r="22" spans="1:7" x14ac:dyDescent="0.25">
      <c r="A22" s="1"/>
      <c r="B22" s="105" t="s">
        <v>12</v>
      </c>
      <c r="C22" s="106"/>
      <c r="D22" s="107"/>
      <c r="E22" s="10">
        <v>21868683.526952639</v>
      </c>
      <c r="F22" s="11" t="s">
        <v>3</v>
      </c>
      <c r="G22" s="1"/>
    </row>
    <row r="23" spans="1:7" ht="15" customHeight="1" x14ac:dyDescent="0.25">
      <c r="A23" s="1"/>
      <c r="B23" s="103" t="s">
        <v>89</v>
      </c>
      <c r="C23" s="104"/>
      <c r="D23" s="104"/>
      <c r="E23" s="56"/>
      <c r="F23" s="56"/>
      <c r="G23" s="1"/>
    </row>
    <row r="24" spans="1:7" ht="14.25" customHeight="1" x14ac:dyDescent="0.25">
      <c r="A24" s="1"/>
      <c r="B24" s="91" t="s">
        <v>85</v>
      </c>
      <c r="C24" s="92"/>
      <c r="D24" s="93"/>
      <c r="E24" s="9">
        <v>0</v>
      </c>
      <c r="F24" s="8" t="s">
        <v>3</v>
      </c>
      <c r="G24" s="1"/>
    </row>
    <row r="25" spans="1:7" ht="14.25" customHeight="1" x14ac:dyDescent="0.25">
      <c r="A25" s="1"/>
      <c r="B25" s="91" t="s">
        <v>86</v>
      </c>
      <c r="C25" s="92"/>
      <c r="D25" s="93"/>
      <c r="E25" s="9">
        <v>0</v>
      </c>
      <c r="F25" s="8" t="s">
        <v>3</v>
      </c>
      <c r="G25" s="1"/>
    </row>
    <row r="26" spans="1:7" x14ac:dyDescent="0.25">
      <c r="A26" s="1"/>
      <c r="B26" s="100" t="s">
        <v>90</v>
      </c>
      <c r="C26" s="101"/>
      <c r="D26" s="101"/>
      <c r="E26" s="10">
        <v>0</v>
      </c>
      <c r="F26" s="11" t="s">
        <v>3</v>
      </c>
      <c r="G26" s="1"/>
    </row>
    <row r="27" spans="1:7" x14ac:dyDescent="0.25">
      <c r="A27" s="1"/>
      <c r="B27" s="55" t="s">
        <v>161</v>
      </c>
      <c r="C27" s="56"/>
      <c r="D27" s="56"/>
      <c r="E27" s="56"/>
      <c r="F27" s="20"/>
      <c r="G27" s="1"/>
    </row>
    <row r="28" spans="1:7" ht="15" customHeight="1" x14ac:dyDescent="0.25">
      <c r="A28" s="1"/>
      <c r="B28" s="100" t="s">
        <v>162</v>
      </c>
      <c r="C28" s="101"/>
      <c r="D28" s="102"/>
      <c r="E28" s="10">
        <v>-131943.01727130637</v>
      </c>
      <c r="F28" s="11" t="s">
        <v>3</v>
      </c>
      <c r="G28" s="1"/>
    </row>
    <row r="29" spans="1:7" x14ac:dyDescent="0.25">
      <c r="A29" s="1"/>
      <c r="B29" s="55" t="s">
        <v>243</v>
      </c>
      <c r="C29" s="56"/>
      <c r="D29" s="56"/>
      <c r="E29" s="56"/>
      <c r="F29" s="20"/>
      <c r="G29" s="1"/>
    </row>
    <row r="30" spans="1:7" ht="15" customHeight="1" x14ac:dyDescent="0.25">
      <c r="A30" s="1"/>
      <c r="B30" s="100" t="s">
        <v>244</v>
      </c>
      <c r="C30" s="101"/>
      <c r="D30" s="102"/>
      <c r="E30" s="10">
        <v>0</v>
      </c>
      <c r="F30" s="11" t="s">
        <v>3</v>
      </c>
      <c r="G30" s="1"/>
    </row>
    <row r="31" spans="1:7" x14ac:dyDescent="0.25">
      <c r="A31" s="1"/>
      <c r="B31" s="55" t="s">
        <v>29</v>
      </c>
      <c r="C31" s="56"/>
      <c r="D31" s="56"/>
      <c r="E31" s="12">
        <f>E20+E22+E26+E28+E30</f>
        <v>47337565.1350438</v>
      </c>
      <c r="F31" s="13" t="s">
        <v>3</v>
      </c>
      <c r="G31" s="1"/>
    </row>
    <row r="32" spans="1:7" ht="26.25" customHeight="1" x14ac:dyDescent="0.25">
      <c r="A32" s="1"/>
      <c r="B32" s="91" t="s">
        <v>191</v>
      </c>
      <c r="C32" s="92"/>
      <c r="D32" s="92"/>
      <c r="E32" s="92"/>
      <c r="F32" s="93"/>
      <c r="G32" s="1"/>
    </row>
    <row r="33" spans="1:7" ht="27.75" customHeight="1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jj8poXj7D6yuVQY7NGdYFqozJHH3ufmFzYKUW/oyPI8bdE6f+SEkHjlAL6R3vLrDkk3Q31czCEdKkQoybbQWgQ==" saltValue="XilhVaHKulSEcj+ftT/BaQ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7109375" style="2" bestFit="1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8" t="s">
        <v>115</v>
      </c>
      <c r="C1" s="108"/>
      <c r="D1" s="108"/>
      <c r="E1" s="108"/>
      <c r="F1" s="108"/>
      <c r="G1" s="108"/>
      <c r="H1" s="108"/>
      <c r="I1" s="1"/>
    </row>
    <row r="2" spans="1:9" ht="15" customHeight="1" x14ac:dyDescent="0.25">
      <c r="A2" s="1"/>
      <c r="B2" s="108"/>
      <c r="C2" s="108"/>
      <c r="D2" s="108"/>
      <c r="E2" s="108"/>
      <c r="F2" s="108"/>
      <c r="G2" s="108"/>
      <c r="H2" s="108"/>
      <c r="I2" s="1"/>
    </row>
    <row r="3" spans="1:9" ht="15" customHeight="1" x14ac:dyDescent="0.25">
      <c r="A3" s="1"/>
      <c r="B3" s="108"/>
      <c r="C3" s="108"/>
      <c r="D3" s="108"/>
      <c r="E3" s="108"/>
      <c r="F3" s="108"/>
      <c r="G3" s="108"/>
      <c r="H3" s="108"/>
      <c r="I3" s="1"/>
    </row>
    <row r="4" spans="1:9" x14ac:dyDescent="0.25">
      <c r="A4" s="1"/>
      <c r="B4" s="115" t="s">
        <v>54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43</v>
      </c>
      <c r="C5" s="113"/>
      <c r="D5" s="113"/>
      <c r="E5" s="113"/>
      <c r="F5" s="114"/>
      <c r="G5" s="24">
        <v>10443057.58097716</v>
      </c>
      <c r="H5" s="14" t="s">
        <v>3</v>
      </c>
      <c r="I5" s="1"/>
    </row>
    <row r="6" spans="1:9" x14ac:dyDescent="0.25">
      <c r="A6" s="1"/>
      <c r="B6" s="112" t="s">
        <v>44</v>
      </c>
      <c r="C6" s="113"/>
      <c r="D6" s="113"/>
      <c r="E6" s="113"/>
      <c r="F6" s="114"/>
      <c r="G6" s="24">
        <f>G5*'Fane 12. Nøgletal'!C29</f>
        <v>208861.15161954321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55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45</v>
      </c>
      <c r="C10" s="113"/>
      <c r="D10" s="113"/>
      <c r="E10" s="113"/>
      <c r="F10" s="114"/>
      <c r="G10" s="24">
        <f>(G5-G6)*(1+'Fane 12. Nøgletal'!C9)</f>
        <v>10364170.72401046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24">
        <v>159246.66615</v>
      </c>
      <c r="H11" s="14" t="s">
        <v>3</v>
      </c>
      <c r="I11" s="1"/>
    </row>
    <row r="12" spans="1:9" x14ac:dyDescent="0.25">
      <c r="A12" s="1"/>
      <c r="B12" s="112" t="s">
        <v>47</v>
      </c>
      <c r="C12" s="113"/>
      <c r="D12" s="113"/>
      <c r="E12" s="113"/>
      <c r="F12" s="114"/>
      <c r="G12" s="24">
        <f>(G10+G11)*'Fane 12. Nøgletal'!C29</f>
        <v>210468.34780320921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56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48</v>
      </c>
      <c r="C16" s="113"/>
      <c r="D16" s="113"/>
      <c r="E16" s="113"/>
      <c r="F16" s="114"/>
      <c r="G16" s="24">
        <f>(G10+G11-G12)*(1+'Fane 12. Nøgletal'!C11)</f>
        <v>10487237.881173087</v>
      </c>
      <c r="H16" s="14" t="s">
        <v>3</v>
      </c>
      <c r="I16" s="1"/>
    </row>
    <row r="17" spans="1:9" x14ac:dyDescent="0.25">
      <c r="A17" s="1"/>
      <c r="B17" s="112" t="s">
        <v>125</v>
      </c>
      <c r="C17" s="113"/>
      <c r="D17" s="113"/>
      <c r="E17" s="113"/>
      <c r="F17" s="114"/>
      <c r="G17" s="42">
        <v>0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42">
        <v>0</v>
      </c>
      <c r="H18" s="14" t="s">
        <v>3</v>
      </c>
      <c r="I18" s="1"/>
    </row>
    <row r="19" spans="1:9" x14ac:dyDescent="0.25">
      <c r="A19" s="1"/>
      <c r="B19" s="112" t="s">
        <v>50</v>
      </c>
      <c r="C19" s="113"/>
      <c r="D19" s="113"/>
      <c r="E19" s="113"/>
      <c r="F19" s="114"/>
      <c r="G19" s="24">
        <f>SUM(G16:G18)*'Fane 12. Nøgletal'!C29</f>
        <v>209744.75762346174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57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51</v>
      </c>
      <c r="C23" s="113"/>
      <c r="D23" s="113"/>
      <c r="E23" s="113"/>
      <c r="F23" s="114"/>
      <c r="G23" s="24">
        <f>(SUM(G16:G18)-G19)*(1+'Fane 12. Nøgletal'!C11)</f>
        <v>10451182.757337613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42">
        <v>0</v>
      </c>
      <c r="H24" s="14" t="s">
        <v>3</v>
      </c>
      <c r="I24" s="1"/>
    </row>
    <row r="25" spans="1:9" x14ac:dyDescent="0.25">
      <c r="A25" s="1"/>
      <c r="B25" s="112" t="s">
        <v>53</v>
      </c>
      <c r="C25" s="113"/>
      <c r="D25" s="113"/>
      <c r="E25" s="113"/>
      <c r="F25" s="114"/>
      <c r="G25" s="24">
        <f>(G23+G24)*'Fane 12. Nøgletal'!C29</f>
        <v>209023.65514675225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175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60</v>
      </c>
      <c r="C29" s="113"/>
      <c r="D29" s="113"/>
      <c r="E29" s="113"/>
      <c r="F29" s="114"/>
      <c r="G29" s="24">
        <f>(G23+G24-G25)*(1+'Fane 12. Nøgletal'!C13)</f>
        <v>10367113.44323759</v>
      </c>
      <c r="H29" s="14" t="s">
        <v>3</v>
      </c>
      <c r="I29" s="1"/>
    </row>
    <row r="30" spans="1:9" x14ac:dyDescent="0.25">
      <c r="A30" s="1"/>
      <c r="B30" s="112" t="s">
        <v>147</v>
      </c>
      <c r="C30" s="113"/>
      <c r="D30" s="113"/>
      <c r="E30" s="113"/>
      <c r="F30" s="114"/>
      <c r="G30" s="42">
        <f>SUM('Fane 3. Omkostninger i ØR2021'!E10,'Fane 3. Omkostninger i ØR2021'!E12,'Fane 3. Omkostninger i ØR2021'!E14)*(1+'Fane 12. Nøgletal'!C13)</f>
        <v>0</v>
      </c>
      <c r="H30" s="14" t="s">
        <v>3</v>
      </c>
      <c r="I30" s="1"/>
    </row>
    <row r="31" spans="1:9" x14ac:dyDescent="0.25">
      <c r="A31" s="1"/>
      <c r="B31" s="112" t="s">
        <v>159</v>
      </c>
      <c r="C31" s="113"/>
      <c r="D31" s="113"/>
      <c r="E31" s="113"/>
      <c r="F31" s="114"/>
      <c r="G31" s="24">
        <f>(G29+G30)*'Fane 12. Nøgletal'!C29</f>
        <v>207342.26886475179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176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80</v>
      </c>
      <c r="C35" s="113"/>
      <c r="D35" s="113"/>
      <c r="E35" s="113"/>
      <c r="F35" s="114"/>
      <c r="G35" s="24">
        <f>(G29+G30-G31)*(1+'Fane 12. Nøgletal'!C13)</f>
        <v>10283720.382700186</v>
      </c>
      <c r="H35" s="14" t="s">
        <v>3</v>
      </c>
      <c r="I35" s="1"/>
    </row>
    <row r="36" spans="1:9" x14ac:dyDescent="0.25">
      <c r="A36" s="1"/>
      <c r="B36" s="37" t="s">
        <v>192</v>
      </c>
      <c r="C36" s="61"/>
      <c r="D36" s="61"/>
      <c r="E36" s="61"/>
      <c r="F36" s="62"/>
      <c r="G36" s="42">
        <f>SUM('Fane 2.1. Økonomisk ramme 2022'!C10)*(1+'Fane 12. Nøgletal'!C14)</f>
        <v>0</v>
      </c>
      <c r="H36" s="14" t="s">
        <v>3</v>
      </c>
      <c r="I36" s="1"/>
    </row>
    <row r="37" spans="1:9" x14ac:dyDescent="0.25">
      <c r="A37" s="1"/>
      <c r="B37" s="112" t="s">
        <v>221</v>
      </c>
      <c r="C37" s="113"/>
      <c r="D37" s="113"/>
      <c r="E37" s="113"/>
      <c r="F37" s="114"/>
      <c r="G37" s="42">
        <f>SUM('Fane 2.1. Økonomisk ramme 2022'!C12,'Fane 2.1. Økonomisk ramme 2022'!C14,'Fane 2.1. Økonomisk ramme 2022'!C16)*(1+'Fane 12. Nøgletal'!C14)</f>
        <v>0</v>
      </c>
      <c r="H37" s="14" t="s">
        <v>3</v>
      </c>
      <c r="I37" s="1"/>
    </row>
    <row r="38" spans="1:9" x14ac:dyDescent="0.25">
      <c r="A38" s="1"/>
      <c r="B38" s="112" t="s">
        <v>177</v>
      </c>
      <c r="C38" s="113"/>
      <c r="D38" s="113"/>
      <c r="E38" s="113"/>
      <c r="F38" s="114"/>
      <c r="G38" s="24">
        <f>(G35+G37)*'Fane 12. Nøgletal'!C29</f>
        <v>205674.40765400373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81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79</v>
      </c>
      <c r="C42" s="113"/>
      <c r="D42" s="113"/>
      <c r="E42" s="113"/>
      <c r="F42" s="114"/>
      <c r="G42" s="24">
        <f>(G35+G37-G38)*(1+'Fane 12. Nøgletal'!C14)</f>
        <v>10111303.526763836</v>
      </c>
      <c r="H42" s="14" t="s">
        <v>3</v>
      </c>
      <c r="I42" s="1"/>
    </row>
    <row r="43" spans="1:9" x14ac:dyDescent="0.25">
      <c r="A43" s="1"/>
      <c r="B43" s="112" t="s">
        <v>92</v>
      </c>
      <c r="C43" s="113"/>
      <c r="D43" s="113"/>
      <c r="E43" s="113"/>
      <c r="F43" s="114"/>
      <c r="G43" s="42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2" t="s">
        <v>61</v>
      </c>
      <c r="C44" s="113"/>
      <c r="D44" s="113"/>
      <c r="E44" s="113"/>
      <c r="F44" s="114"/>
      <c r="G44" s="24">
        <f>(G42+G43)*'Fane 12. Nøgletal'!C29</f>
        <v>202226.07053527673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148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149</v>
      </c>
      <c r="C48" s="113"/>
      <c r="D48" s="113"/>
      <c r="E48" s="113"/>
      <c r="F48" s="114"/>
      <c r="G48" s="24">
        <f>(G42+G43-G44)*(1+'Fane 12. Nøgletal'!C14)</f>
        <v>9941777.4118341152</v>
      </c>
      <c r="H48" s="14" t="s">
        <v>3</v>
      </c>
      <c r="I48" s="1"/>
    </row>
    <row r="49" spans="1:9" x14ac:dyDescent="0.25">
      <c r="A49" s="1"/>
      <c r="B49" s="112" t="s">
        <v>150</v>
      </c>
      <c r="C49" s="113"/>
      <c r="D49" s="113"/>
      <c r="E49" s="113"/>
      <c r="F49" s="114"/>
      <c r="G49" s="42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2" t="s">
        <v>151</v>
      </c>
      <c r="C50" s="113"/>
      <c r="D50" s="113"/>
      <c r="E50" s="113"/>
      <c r="F50" s="114"/>
      <c r="G50" s="24">
        <f>(G48+G49)*'Fane 12. Nøgletal'!C29</f>
        <v>198835.54823668231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198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199</v>
      </c>
      <c r="C54" s="113"/>
      <c r="D54" s="113"/>
      <c r="E54" s="113"/>
      <c r="F54" s="114"/>
      <c r="G54" s="24">
        <f>(G48+G49-G50)*(1+'Fane 12. Nøgletal'!C14)</f>
        <v>9775093.5717473049</v>
      </c>
      <c r="H54" s="14" t="s">
        <v>3</v>
      </c>
      <c r="I54" s="1"/>
    </row>
    <row r="55" spans="1:9" x14ac:dyDescent="0.25">
      <c r="A55" s="1"/>
      <c r="B55" s="112" t="s">
        <v>200</v>
      </c>
      <c r="C55" s="113"/>
      <c r="D55" s="113"/>
      <c r="E55" s="113"/>
      <c r="F55" s="114"/>
      <c r="G55" s="42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2" t="s">
        <v>201</v>
      </c>
      <c r="C56" s="113"/>
      <c r="D56" s="113"/>
      <c r="E56" s="113"/>
      <c r="F56" s="114"/>
      <c r="G56" s="24">
        <f>(G54+G55)*'Fane 12. Nøgletal'!C29</f>
        <v>195501.87143494611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54/XA1lV7wBT3uDD0GP2hH3LEbflY8nrL8oKwJvvbvLVtybAnTMxtAfkGaIPBFRtKAOIAzbQ7Crk0HSBWRVnGg==" saltValue="G1iuoulq9WM+BmKtngN6VQ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5" t="s">
        <v>58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62</v>
      </c>
      <c r="C5" s="113"/>
      <c r="D5" s="113"/>
      <c r="E5" s="113"/>
      <c r="F5" s="114"/>
      <c r="G5" s="24">
        <v>16279713.022333013</v>
      </c>
      <c r="H5" s="14" t="s">
        <v>3</v>
      </c>
      <c r="I5" s="1"/>
    </row>
    <row r="6" spans="1:9" x14ac:dyDescent="0.25">
      <c r="A6" s="1"/>
      <c r="B6" s="112" t="s">
        <v>59</v>
      </c>
      <c r="C6" s="113"/>
      <c r="D6" s="113"/>
      <c r="E6" s="113"/>
      <c r="F6" s="114"/>
      <c r="G6" s="24">
        <f>G5*'Fane 12. Nøgletal'!C19</f>
        <v>148145.38850323044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63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64</v>
      </c>
      <c r="C10" s="113"/>
      <c r="D10" s="113"/>
      <c r="E10" s="113"/>
      <c r="F10" s="114"/>
      <c r="G10" s="24">
        <f>(G5-G6)*(1+'Fane 12. Nøgletal'!C9)</f>
        <v>16336438.54277942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24">
        <v>183689.21140625002</v>
      </c>
      <c r="H11" s="14" t="s">
        <v>3</v>
      </c>
      <c r="I11" s="1"/>
    </row>
    <row r="12" spans="1:9" x14ac:dyDescent="0.25">
      <c r="A12" s="1"/>
      <c r="B12" s="112" t="s">
        <v>66</v>
      </c>
      <c r="C12" s="113"/>
      <c r="D12" s="113"/>
      <c r="E12" s="113"/>
      <c r="F12" s="114"/>
      <c r="G12" s="24">
        <f>G10*'Fane 12. Nøgletal'!C19+G11*'Fane 12. Nøgletal'!C20</f>
        <v>151912.88978118336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67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68</v>
      </c>
      <c r="C16" s="113"/>
      <c r="D16" s="113"/>
      <c r="E16" s="113"/>
      <c r="F16" s="114"/>
      <c r="G16" s="24">
        <f>(G10+G11-G12)*(1+'Fane 12. Nøgletal'!C11)</f>
        <v>16644837.69561292</v>
      </c>
      <c r="H16" s="14" t="s">
        <v>3</v>
      </c>
      <c r="I16" s="1"/>
    </row>
    <row r="17" spans="1:9" x14ac:dyDescent="0.25">
      <c r="A17" s="1"/>
      <c r="B17" s="112" t="s">
        <v>126</v>
      </c>
      <c r="C17" s="113"/>
      <c r="D17" s="113"/>
      <c r="E17" s="113"/>
      <c r="F17" s="114"/>
      <c r="G17" s="24">
        <v>124793.44138983981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42">
        <v>0</v>
      </c>
      <c r="H18" s="14" t="s">
        <v>3</v>
      </c>
      <c r="I18" s="1"/>
    </row>
    <row r="19" spans="1:9" x14ac:dyDescent="0.25">
      <c r="A19" s="1"/>
      <c r="B19" s="112" t="s">
        <v>70</v>
      </c>
      <c r="C19" s="113"/>
      <c r="D19" s="113"/>
      <c r="E19" s="113"/>
      <c r="F19" s="114"/>
      <c r="G19" s="24">
        <f>(G16+G17+G18)*'Fane 12. Nøgletal'!C21</f>
        <v>145895.790891924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71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72</v>
      </c>
      <c r="C23" s="113"/>
      <c r="D23" s="113"/>
      <c r="E23" s="113"/>
      <c r="F23" s="114"/>
      <c r="G23" s="24">
        <f>(SUM(G16:G18)-G19)*(1+'Fane 12. Nøgletal'!C11)</f>
        <v>16904676.473460108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42">
        <v>0</v>
      </c>
      <c r="H24" s="14" t="s">
        <v>3</v>
      </c>
      <c r="I24" s="1"/>
    </row>
    <row r="25" spans="1:9" x14ac:dyDescent="0.25">
      <c r="A25" s="1"/>
      <c r="B25" s="112" t="s">
        <v>74</v>
      </c>
      <c r="C25" s="113"/>
      <c r="D25" s="113"/>
      <c r="E25" s="113"/>
      <c r="F25" s="114"/>
      <c r="G25" s="24">
        <f>G23*'Fane 12. Nøgletal'!C21+G24*'Fane 12. Nøgletal'!C22</f>
        <v>147070.68531910292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173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75</v>
      </c>
      <c r="C29" s="113"/>
      <c r="D29" s="113"/>
      <c r="E29" s="113"/>
      <c r="F29" s="114"/>
      <c r="G29" s="24">
        <f>(G23+G24-G25)*(1+'Fane 12. Nøgletal'!C13)</f>
        <v>16962048.578756325</v>
      </c>
      <c r="H29" s="14" t="s">
        <v>3</v>
      </c>
      <c r="I29" s="1"/>
    </row>
    <row r="30" spans="1:9" x14ac:dyDescent="0.25">
      <c r="A30" s="1"/>
      <c r="B30" s="112" t="s">
        <v>152</v>
      </c>
      <c r="C30" s="113"/>
      <c r="D30" s="113"/>
      <c r="E30" s="113"/>
      <c r="F30" s="114"/>
      <c r="G30" s="42">
        <v>0</v>
      </c>
      <c r="H30" s="14" t="s">
        <v>3</v>
      </c>
      <c r="I30" s="1"/>
    </row>
    <row r="31" spans="1:9" x14ac:dyDescent="0.25">
      <c r="A31" s="1"/>
      <c r="B31" s="112" t="s">
        <v>174</v>
      </c>
      <c r="C31" s="113"/>
      <c r="D31" s="113"/>
      <c r="E31" s="113"/>
      <c r="F31" s="114"/>
      <c r="G31" s="24">
        <f>(G29+G30)*'Fane 12. Nøgletal'!C23</f>
        <v>466456.33591579896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178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78</v>
      </c>
      <c r="C35" s="113"/>
      <c r="D35" s="113"/>
      <c r="E35" s="113"/>
      <c r="F35" s="114"/>
      <c r="G35" s="24">
        <f>(G29+G30-G31)*(1+'Fane 12. Nøgletal'!C13)</f>
        <v>16696838.468203181</v>
      </c>
      <c r="H35" s="14" t="s">
        <v>3</v>
      </c>
      <c r="I35" s="1"/>
    </row>
    <row r="36" spans="1:9" s="41" customFormat="1" x14ac:dyDescent="0.2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0</v>
      </c>
      <c r="H36" s="14" t="s">
        <v>3</v>
      </c>
      <c r="I36" s="38"/>
    </row>
    <row r="37" spans="1:9" x14ac:dyDescent="0.25">
      <c r="A37" s="1"/>
      <c r="B37" s="112" t="s">
        <v>193</v>
      </c>
      <c r="C37" s="113"/>
      <c r="D37" s="113"/>
      <c r="E37" s="113"/>
      <c r="F37" s="114"/>
      <c r="G37" s="42">
        <f>SUM('Fane 2.1. Økonomisk ramme 2022'!C13,'Fane 2.1. Økonomisk ramme 2022'!C15,'Fane 2.1. Økonomisk ramme 2022'!C17)*(1+'Fane 12. Nøgletal'!C14)</f>
        <v>0</v>
      </c>
      <c r="H37" s="14" t="s">
        <v>3</v>
      </c>
      <c r="I37" s="1"/>
    </row>
    <row r="38" spans="1:9" x14ac:dyDescent="0.25">
      <c r="A38" s="1"/>
      <c r="B38" s="112" t="s">
        <v>179</v>
      </c>
      <c r="C38" s="113"/>
      <c r="D38" s="113"/>
      <c r="E38" s="113"/>
      <c r="F38" s="114"/>
      <c r="G38" s="24">
        <f>G35*'Fane 12. Nøgletal'!C23+G37*'Fane 12. Nøgletal'!C24</f>
        <v>459163.05787558749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82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77</v>
      </c>
      <c r="C42" s="113"/>
      <c r="D42" s="113"/>
      <c r="E42" s="113"/>
      <c r="F42" s="114"/>
      <c r="G42" s="24">
        <f>(G35+G37-G38)*(1+'Fane 12. Nøgletal'!C14)</f>
        <v>16291259.739181677</v>
      </c>
      <c r="H42" s="14" t="s">
        <v>3</v>
      </c>
      <c r="I42" s="1"/>
    </row>
    <row r="43" spans="1:9" x14ac:dyDescent="0.25">
      <c r="A43" s="1"/>
      <c r="B43" s="112" t="s">
        <v>96</v>
      </c>
      <c r="C43" s="113"/>
      <c r="D43" s="113"/>
      <c r="E43" s="113"/>
      <c r="F43" s="114"/>
      <c r="G43" s="42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2" t="s">
        <v>76</v>
      </c>
      <c r="C44" s="113"/>
      <c r="D44" s="113"/>
      <c r="E44" s="113"/>
      <c r="F44" s="114"/>
      <c r="G44" s="24">
        <f>(G42+G43)*'Fane 12. Nøgletal'!C24</f>
        <v>241110.64413988884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153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154</v>
      </c>
      <c r="C48" s="113"/>
      <c r="D48" s="113"/>
      <c r="E48" s="113"/>
      <c r="F48" s="114"/>
      <c r="G48" s="24">
        <f>(G42+G43-G44)*(1+'Fane 12. Nøgletal'!C14)</f>
        <v>16103114.587055426</v>
      </c>
      <c r="H48" s="14" t="s">
        <v>3</v>
      </c>
      <c r="I48" s="1"/>
    </row>
    <row r="49" spans="1:9" x14ac:dyDescent="0.25">
      <c r="A49" s="1"/>
      <c r="B49" s="112" t="s">
        <v>155</v>
      </c>
      <c r="C49" s="113"/>
      <c r="D49" s="113"/>
      <c r="E49" s="113"/>
      <c r="F49" s="114"/>
      <c r="G49" s="42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2" t="s">
        <v>156</v>
      </c>
      <c r="C50" s="113"/>
      <c r="D50" s="113"/>
      <c r="E50" s="113"/>
      <c r="F50" s="114"/>
      <c r="G50" s="24">
        <f>(G48+G49)*'Fane 12. Nøgletal'!C24</f>
        <v>238326.09588842033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194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195</v>
      </c>
      <c r="C54" s="113"/>
      <c r="D54" s="113"/>
      <c r="E54" s="113"/>
      <c r="F54" s="114"/>
      <c r="G54" s="24">
        <f>(G48+G49-G50)*(1+'Fane 12. Nøgletal'!C14)</f>
        <v>15917142.293187857</v>
      </c>
      <c r="H54" s="14" t="s">
        <v>3</v>
      </c>
      <c r="I54" s="1"/>
    </row>
    <row r="55" spans="1:9" x14ac:dyDescent="0.25">
      <c r="A55" s="1"/>
      <c r="B55" s="112" t="s">
        <v>196</v>
      </c>
      <c r="C55" s="113"/>
      <c r="D55" s="113"/>
      <c r="E55" s="113"/>
      <c r="F55" s="114"/>
      <c r="G55" s="42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2" t="s">
        <v>197</v>
      </c>
      <c r="C56" s="113"/>
      <c r="D56" s="113"/>
      <c r="E56" s="113"/>
      <c r="F56" s="114"/>
      <c r="G56" s="24">
        <f>(G54+G55)*'Fane 12. Nøgletal'!C24</f>
        <v>235573.70593918028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HOD+ajai1Bp8r66i9ouS+I2xtM9jG5bPyYecw5P/KtCVAwqB/qIgv/PSFmeUF2/HSje0INnsEBfeUSDcn3g4tg==" saltValue="ATAgdHOLRDckHGqiGjuwlQ==" spinCount="100000" sheet="1" objects="1" scenarios="1"/>
  <mergeCells count="37"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53:H53"/>
    <mergeCell ref="B54:F54"/>
    <mergeCell ref="B55:F55"/>
    <mergeCell ref="B56:F56"/>
    <mergeCell ref="B35:F35"/>
    <mergeCell ref="B44:F44"/>
    <mergeCell ref="B31:F31"/>
    <mergeCell ref="B34:H34"/>
    <mergeCell ref="B22:H22"/>
    <mergeCell ref="B23:F23"/>
    <mergeCell ref="B24:F24"/>
    <mergeCell ref="B25:F25"/>
    <mergeCell ref="B1:H3"/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9</v>
      </c>
      <c r="C8" s="116"/>
      <c r="D8" s="116"/>
      <c r="E8" s="116"/>
      <c r="F8" s="116"/>
      <c r="G8" s="116"/>
      <c r="H8" s="117"/>
      <c r="I8" s="1"/>
    </row>
    <row r="9" spans="1:9" x14ac:dyDescent="0.25">
      <c r="A9" s="1"/>
      <c r="B9" s="112" t="s">
        <v>105</v>
      </c>
      <c r="C9" s="113"/>
      <c r="D9" s="113"/>
      <c r="E9" s="113"/>
      <c r="F9" s="114"/>
      <c r="G9" s="44">
        <v>3.3328172199241766E-3</v>
      </c>
      <c r="H9" s="14"/>
      <c r="I9" s="1"/>
    </row>
    <row r="10" spans="1:9" x14ac:dyDescent="0.25">
      <c r="A10" s="1"/>
      <c r="B10" s="112" t="s">
        <v>141</v>
      </c>
      <c r="C10" s="113"/>
      <c r="D10" s="113"/>
      <c r="E10" s="113"/>
      <c r="F10" s="114"/>
      <c r="G10" s="44">
        <v>2.0266994052373618E-3</v>
      </c>
      <c r="H10" s="14"/>
      <c r="I10" s="1"/>
    </row>
    <row r="11" spans="1:9" x14ac:dyDescent="0.25">
      <c r="A11" s="1"/>
      <c r="B11" s="55"/>
      <c r="C11" s="56"/>
      <c r="D11" s="56"/>
      <c r="E11" s="56"/>
      <c r="F11" s="56"/>
      <c r="G11" s="56"/>
      <c r="H11" s="20"/>
      <c r="I11" s="1"/>
    </row>
    <row r="12" spans="1:9" ht="14.25" customHeight="1" x14ac:dyDescent="0.25">
      <c r="A12" s="1"/>
      <c r="B12" s="124" t="s">
        <v>191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0Ih5/NYzN0Egd2YjVDRLpRC2Ovtlwvk6vA7YNM/pdxfwGqG6TkUZ7rkwjb/l4FNkceJaPsO2e+bh0LWcc9hrew==" saltValue="lZ9I+x3cni8gvDn7JvpQUg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2021-09-07T12:23:31Z</dcterms:modified>
</cp:coreProperties>
</file>