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Forsyning Helsingør Spildevand AS (S021)\ØR2024\"/>
    </mc:Choice>
  </mc:AlternateContent>
  <xr:revisionPtr revIDLastSave="0" documentId="13_ncr:1_{EC6687CF-0E49-4F37-8B8B-AD2CDA5F909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<sst xmlns="http://schemas.openxmlformats.org/spreadsheetml/2006/main" count="660" uniqueCount="294">
  <si>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</si>
  <si>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</si>
  <si>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</si>
  <si>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</si>
  <si>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</si>
  <si>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</si>
  <si>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</si>
  <si>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</si>
  <si>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</si>
  <si>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</si>
  <si>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</si>
  <si>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</si>
  <si>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</si>
  <si>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</si>
  <si>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</si>
  <si>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</si>
  <si>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</si>
  <si>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</si>
  <si>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</si>
  <si>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</si>
  <si>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</si>
  <si>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</si>
  <si>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</si>
  <si>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</si>
  <si>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</si>
  <si>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</si>
  <si>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</si>
  <si>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</si>
  <si>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</si>
  <si>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</si>
  <si>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</si>
  <si>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</si>
  <si>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</si>
  <si>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</si>
  <si>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</si>
  <si>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</si>
  <si>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</si>
  <si>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</si>
  <si>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</si>
  <si>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</si>
  <si>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</si>
  <si>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</si>
  <si>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</si>
  <si>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</si>
  <si>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</si>
  <si>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</si>
  <si>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</si>
  <si>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</si>
  <si>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</si>
  <si>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</si>
  <si>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</si>
  <si>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</si>
  <si>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</si>
  <si>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</si>
  <si>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</si>
  <si>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</si>
  <si>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</si>
  <si>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</si>
  <si>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</si>
  <si>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</si>
  <si>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</si>
  <si>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</si>
  <si>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</si>
  <si>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</si>
  <si>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</si>
  <si>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</si>
  <si>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</si>
  <si>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</si>
  <si>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</si>
  <si>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</si>
  <si>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</si>
  <si>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</si>
  <si>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</si>
  <si>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</si>
  <si>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</si>
  <si>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</si>
  <si>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</si>
  <si>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</si>
  <si>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</si>
  <si>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</si>
  <si>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</si>
  <si>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</si>
  <si>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</si>
  <si>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</si>
  <si>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</si>
  <si>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</si>
  <si>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</si>
  <si>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</si>
  <si>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</si>
  <si>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</si>
  <si>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</si>
  <si>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</si>
  <si>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</si>
  <si>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</si>
  <si>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</si>
  <si>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</si>
  <si>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</si>
  <si>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</si>
  <si>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</si>
  <si>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</si>
  <si>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</si>
  <si>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</si>
  <si>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</si>
  <si>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</si>
  <si>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</si>
  <si>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</si>
  <si>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</si>
  <si>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</si>
  <si>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</si>
  <si>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</si>
  <si>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</si>
  <si>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</si>
  <si>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</si>
  <si>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</si>
  <si>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</si>
  <si>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</si>
  <si>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</si>
  <si>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</si>
  <si>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</si>
  <si>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</si>
  <si>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</si>
  <si>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</si>
  <si>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</si>
  <si>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</si>
  <si>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</si>
  <si>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</si>
  <si>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</si>
  <si>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</si>
  <si>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</si>
  <si>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</si>
  <si>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</si>
  <si>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</si>
  <si>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</si>
  <si>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</si>
  <si>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</si>
  <si>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</si>
  <si>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</si>
  <si>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</si>
  <si>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</si>
  <si>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</si>
  <si>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</si>
  <si>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</si>
  <si>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</si>
  <si>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</si>
  <si>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</si>
  <si>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</si>
  <si>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</si>
  <si>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</si>
  <si>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</si>
  <si>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</si>
  <si>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</si>
  <si>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</si>
  <si>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</si>
  <si>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</si>
  <si>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</si>
  <si>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</si>
  <si>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</si>
  <si>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</si>
  <si>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</si>
  <si>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</si>
  <si>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</si>
  <si>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</si>
  <si>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</si>
  <si>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</si>
  <si>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</si>
  <si>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</si>
  <si>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</si>
  <si>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</si>
  <si>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</si>
  <si>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</si>
  <si>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</si>
  <si>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</si>
  <si>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</si>
  <si>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</si>
  <si>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</si>
  <si>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</si>
  <si>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</si>
  <si>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</si>
  <si>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</si>
  <si>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</si>
  <si>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</si>
  <si>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</si>
  <si>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</si>
  <si>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</si>
  <si>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</si>
  <si>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</si>
  <si>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</si>
  <si>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</si>
  <si>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</si>
  <si>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</si>
  <si>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</si>
  <si>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</si>
  <si>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</si>
  <si>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</si>
  <si>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</si>
  <si>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</si>
  <si>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</si>
  <si>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</si>
  <si>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</si>
  <si>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</si>
  <si>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</si>
  <si>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</si>
  <si>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</si>
  <si>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</si>
  <si>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</si>
  <si>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</si>
  <si>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</si>
  <si>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</si>
  <si>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</si>
  <si>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</si>
  <si>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</si>
  <si>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</si>
  <si>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</si>
  <si>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</si>
  <si>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</si>
  <si>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</si>
  <si>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</si>
  <si>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</si>
  <si>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</si>
  <si>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</si>
  <si>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</si>
  <si>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</si>
  <si>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</si>
  <si>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</si>
  <si>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</si>
  <si>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</si>
  <si>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</si>
  <si>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</si>
  <si>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</si>
  <si>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</si>
  <si>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</si>
  <si>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</si>
  <si>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</si>
  <si>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</si>
  <si>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</si>
  <si>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</si>
  <si>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</si>
  <si>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</si>
  <si>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</si>
  <si>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</si>
  <si>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</si>
  <si>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</si>
  <si>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</si>
  <si>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</si>
  <si>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</si>
  <si>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</si>
  <si>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</si>
  <si>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</si>
  <si>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</si>
  <si>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</si>
  <si>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</si>
  <si>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</si>
  <si>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</si>
  <si>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</si>
  <si>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</si>
  <si>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</si>
  <si>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</si>
  <si>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</si>
  <si>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</si>
  <si>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</si>
  <si>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</si>
  <si>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</si>
  <si>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</si>
  <si>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</si>
  <si>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</si>
  <si>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</si>
  <si>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</si>
  <si>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</si>
  <si>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</si>
  <si>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</si>
  <si>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</si>
  <si>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</si>
  <si>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</si>
  <si>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</si>
  <si>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</si>
  <si>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</si>
  <si>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</si>
  <si>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</si>
  <si>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</si>
  <si>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</si>
  <si>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</si>
  <si>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</si>
  <si>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</si>
  <si>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</si>
  <si>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</si>
  <si>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</si>
  <si>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</si>
  <si>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04_Ansøgning 2022_Mål - Slamsuger</t>
  </si>
  <si>
    <t>02_Ansøgning 2022_Gæsteprincip</t>
  </si>
  <si>
    <t>01_Ansøgning 2022_Mindre udvidelser</t>
  </si>
  <si>
    <t>05_Ansøgning 2022_Pålæg - revidering af Spildevandsplanen</t>
  </si>
  <si>
    <t>Oprensning af søer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</si>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</sst>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WfSvjJrxLIV2wcOO2iy7p2op9+63xzTLH6urr5G5cLoN4Y3bVrnnr7mTgvYUIdfIZzZcH6DxAXck+Kc/S9LHng==" saltValue="9vG48VxOI18i7Cq+1LlBd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272</v>
      </c>
      <c r="C10" s="9">
        <v>2391772</v>
      </c>
      <c r="D10" s="14" t="s">
        <v>3</v>
      </c>
      <c r="E10" s="1"/>
      <c r="F10" s="1"/>
    </row>
    <row r="11" spans="1:6" ht="15" customHeight="1" x14ac:dyDescent="0.25">
      <c r="A11" s="1"/>
      <c r="B11" s="80" t="s">
        <v>273</v>
      </c>
      <c r="C11" s="9">
        <v>123815</v>
      </c>
      <c r="D11" s="14" t="s">
        <v>3</v>
      </c>
      <c r="E11" s="1"/>
      <c r="F11" s="1"/>
    </row>
    <row r="12" spans="1:6" x14ac:dyDescent="0.25">
      <c r="A12" s="1"/>
      <c r="B12" s="80" t="s">
        <v>274</v>
      </c>
      <c r="C12" s="9">
        <v>27495</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2543082</v>
      </c>
      <c r="D20" s="13" t="s">
        <v>3</v>
      </c>
      <c r="E20" s="1"/>
      <c r="F20" s="1"/>
    </row>
    <row r="21" spans="1:6" x14ac:dyDescent="0.25">
      <c r="A21" s="1"/>
      <c r="B21" s="33" t="s">
        <v>227</v>
      </c>
      <c r="C21" s="12">
        <f>C20*(1+'Fane 15. Nøgletal'!C16)^2</f>
        <v>2970646.9180684797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bKCkhzJie+aWiQzxoUZZorOVUqS4080gB9wr8ysY4iJkr+/9T8eCn7sPlG0ayUEzTNM2WhIVVfy1zXF7bTjLkw==" saltValue="685CnULA9Uho3ZyLwhWHb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008E-2757-47E3-A6C0-E87DB2BF4153}">
  <dimension ref="A1:G51"/>
  <sheetViews>
    <sheetView showGridLines="0" view="pageLayout" zoomScale="70" zoomScaleNormal="100" zoomScalePageLayoutView="7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275</v>
      </c>
      <c r="C9" s="120"/>
      <c r="D9" s="121"/>
      <c r="E9" s="9">
        <v>5539956</v>
      </c>
      <c r="F9" s="14" t="s">
        <v>3</v>
      </c>
      <c r="G9" s="1"/>
    </row>
    <row r="10" spans="1:7" ht="15" customHeight="1" x14ac:dyDescent="0.25">
      <c r="A10" s="1"/>
      <c r="B10" s="119" t="s">
        <v>143</v>
      </c>
      <c r="C10" s="120"/>
      <c r="D10" s="121"/>
      <c r="E10" s="9">
        <v>-5157323</v>
      </c>
      <c r="F10" s="14" t="s">
        <v>3</v>
      </c>
      <c r="G10" s="1"/>
    </row>
    <row r="11" spans="1:7" ht="15" customHeight="1" x14ac:dyDescent="0.25">
      <c r="A11" s="1"/>
      <c r="B11" s="119" t="s">
        <v>276</v>
      </c>
      <c r="C11" s="120"/>
      <c r="D11" s="121"/>
      <c r="E11" s="9">
        <v>1868743</v>
      </c>
      <c r="F11" s="14" t="s">
        <v>3</v>
      </c>
      <c r="G11" s="1"/>
    </row>
    <row r="12" spans="1:7" x14ac:dyDescent="0.25">
      <c r="A12" s="1"/>
      <c r="B12" s="33"/>
      <c r="C12" s="28"/>
      <c r="D12" s="28"/>
      <c r="E12" s="28"/>
      <c r="F12" s="19"/>
      <c r="G12" s="1"/>
    </row>
    <row r="13" spans="1:7" ht="42" customHeight="1" x14ac:dyDescent="0.25">
      <c r="A13" s="1"/>
      <c r="B13" s="113" t="s">
        <v>277</v>
      </c>
      <c r="C13" s="114"/>
      <c r="D13" s="114"/>
      <c r="E13" s="114"/>
      <c r="F13" s="115"/>
      <c r="G13" s="1"/>
    </row>
    <row r="14" spans="1:7" ht="15" customHeight="1" x14ac:dyDescent="0.25">
      <c r="A14" s="1"/>
      <c r="B14" s="1"/>
      <c r="C14" s="1"/>
      <c r="D14" s="1"/>
      <c r="E14" s="1"/>
      <c r="F14" s="1"/>
      <c r="G14" s="1"/>
    </row>
    <row r="15" spans="1:7" x14ac:dyDescent="0.25">
      <c r="A15" s="1"/>
      <c r="B15" s="74" t="s">
        <v>278</v>
      </c>
      <c r="C15" s="75"/>
      <c r="D15" s="75"/>
      <c r="E15" s="75"/>
      <c r="F15" s="76"/>
      <c r="G15" s="1"/>
    </row>
    <row r="16" spans="1:7" x14ac:dyDescent="0.25">
      <c r="A16" s="1"/>
      <c r="B16" s="77" t="s">
        <v>279</v>
      </c>
      <c r="C16" s="78"/>
      <c r="D16" s="79"/>
      <c r="E16" s="9">
        <f>IF(E11&lt;0,E11,0)</f>
        <v>0</v>
      </c>
      <c r="F16" s="14" t="s">
        <v>3</v>
      </c>
      <c r="G16" s="1"/>
    </row>
    <row r="17" spans="1:7" x14ac:dyDescent="0.25">
      <c r="A17" s="1"/>
      <c r="B17" s="77" t="s">
        <v>280</v>
      </c>
      <c r="C17" s="78"/>
      <c r="D17" s="79"/>
      <c r="E17" s="9">
        <f>IF(SUM(E10)&gt;0,SUM(E10),0)</f>
        <v>0</v>
      </c>
      <c r="F17" s="14" t="s">
        <v>3</v>
      </c>
      <c r="G17" s="1"/>
    </row>
    <row r="18" spans="1:7" x14ac:dyDescent="0.25">
      <c r="A18" s="1"/>
      <c r="B18" s="81" t="s">
        <v>281</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282</v>
      </c>
      <c r="C21" s="75"/>
      <c r="D21" s="75"/>
      <c r="E21" s="75"/>
      <c r="F21" s="76"/>
      <c r="G21" s="1"/>
    </row>
    <row r="22" spans="1:7" x14ac:dyDescent="0.25">
      <c r="A22" s="1"/>
      <c r="B22" s="77" t="s">
        <v>283</v>
      </c>
      <c r="C22" s="78"/>
      <c r="D22" s="79"/>
      <c r="E22" s="9">
        <v>101090276</v>
      </c>
      <c r="F22" s="14" t="s">
        <v>3</v>
      </c>
      <c r="G22" s="1"/>
    </row>
    <row r="23" spans="1:7" x14ac:dyDescent="0.25">
      <c r="A23" s="1"/>
      <c r="B23" s="77" t="s">
        <v>284</v>
      </c>
      <c r="C23" s="78"/>
      <c r="D23" s="79"/>
      <c r="E23" s="9">
        <v>105149248</v>
      </c>
      <c r="F23" s="14" t="s">
        <v>3</v>
      </c>
      <c r="G23" s="1"/>
    </row>
    <row r="24" spans="1:7" x14ac:dyDescent="0.25">
      <c r="A24" s="1"/>
      <c r="B24" s="77" t="s">
        <v>30</v>
      </c>
      <c r="C24" s="78"/>
      <c r="D24" s="79"/>
      <c r="E24" s="9">
        <v>-1046000</v>
      </c>
      <c r="F24" s="14" t="s">
        <v>3</v>
      </c>
      <c r="G24" s="1"/>
    </row>
    <row r="25" spans="1:7" x14ac:dyDescent="0.25">
      <c r="A25" s="1"/>
      <c r="B25" s="81" t="s">
        <v>285</v>
      </c>
      <c r="C25" s="82"/>
      <c r="D25" s="83"/>
      <c r="E25" s="62">
        <f>E22-E23-E24</f>
        <v>-3012972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286</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-1144229</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-572114.5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fWWWFHnKqpmc2A3dmjh50NK9uyV0PwwWK9iyjPhZNe8fg8INUSwzGE6hfywnkoiikoyi54u9HzLP6+5MWxzDHw==" saltValue="pkRxt6rO8bdKI4jngfjoY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q0k/DJxg3IWcjGGocqZbs0jQINx4oom2xmxewl3Bk890AsKUv6IXGiJWkm5zCLdalGE4Fq9X1ynoRtPIel/VA==" saltValue="L8AZ0dnGvB+aKlRCVkKgU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MZ4y+Fdnptvk3jK5U4HvlqfHPMkO32WiUamAarzohcscE3QmE4bX35U+qfm+WnswLvgBs3E+v/+AYxuBKjBjw==" saltValue="3VLhKXQnjJMf3aWuJFqVH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3+XoF6N78Hmoi2YSAp2K6HXBR6hg/+M+IDy3vOWjtz+fMLc6mt7Iuy1HHXbTzXe+pPvAfKdTTeZdNaaM47dWPQ==" saltValue="9ufZB5ibhzwD9tFRza/xn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386116</v>
      </c>
      <c r="F11" s="14" t="s">
        <v>3</v>
      </c>
      <c r="G11" s="1"/>
    </row>
    <row r="12" spans="1:7" x14ac:dyDescent="0.25">
      <c r="A12" s="1"/>
      <c r="B12" s="24" t="s">
        <v>288</v>
      </c>
      <c r="C12" s="21">
        <v>0</v>
      </c>
      <c r="D12" s="14" t="s">
        <v>3</v>
      </c>
      <c r="E12" s="9">
        <v>682876</v>
      </c>
      <c r="F12" s="14" t="s">
        <v>3</v>
      </c>
      <c r="G12" s="1"/>
    </row>
    <row r="13" spans="1:7" x14ac:dyDescent="0.25">
      <c r="A13" s="1"/>
      <c r="B13" s="24" t="s">
        <v>289</v>
      </c>
      <c r="C13" s="21">
        <v>64246</v>
      </c>
      <c r="D13" s="14" t="s">
        <v>3</v>
      </c>
      <c r="E13" s="9">
        <v>104475</v>
      </c>
      <c r="F13" s="14" t="s">
        <v>3</v>
      </c>
      <c r="G13" s="1"/>
    </row>
    <row r="14" spans="1:7" x14ac:dyDescent="0.25">
      <c r="A14" s="1"/>
      <c r="B14" s="24" t="s">
        <v>291</v>
      </c>
      <c r="C14" s="21">
        <v>121498</v>
      </c>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185744</v>
      </c>
      <c r="D19" s="13" t="s">
        <v>3</v>
      </c>
      <c r="E19" s="12">
        <f>SUM(E10:E18)</f>
        <v>1173467</v>
      </c>
      <c r="F19" s="13" t="s">
        <v>3</v>
      </c>
      <c r="G19" s="1"/>
    </row>
    <row r="20" spans="1:7" x14ac:dyDescent="0.25">
      <c r="A20" s="1"/>
      <c r="B20" s="33" t="s">
        <v>233</v>
      </c>
      <c r="C20" s="12">
        <f>C19*(1+'Fane 15. Nøgletal'!C16)</f>
        <v>200752.1152</v>
      </c>
      <c r="D20" s="13" t="s">
        <v>3</v>
      </c>
      <c r="E20" s="12">
        <f>E19*(1+'Fane 15. Nøgletal'!C16)</f>
        <v>1268283.1336000001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yS95ULbvlxiQc6YkCamoQcSrR31jLSdI/LGHIrGTpNyizTL+fw1PIHhSk6aOAlHOgoF0pKxE083pNrm5Bd9Tw==" saltValue="nGvI8Z7bkroHFHmXGBYD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290</v>
      </c>
      <c r="C10" s="21">
        <v>156778</v>
      </c>
      <c r="D10" s="14" t="s">
        <v>3</v>
      </c>
      <c r="E10" s="9">
        <v>0</v>
      </c>
      <c r="F10" s="14" t="s">
        <v>3</v>
      </c>
      <c r="G10" s="1"/>
    </row>
    <row r="11" spans="1:7" x14ac:dyDescent="0.25">
      <c r="A11" s="1"/>
      <c r="B11" s="24" t="s">
        <v>291</v>
      </c>
      <c r="C11" s="21">
        <v>2429960</v>
      </c>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2586738</v>
      </c>
      <c r="D13" s="13" t="s">
        <v>3</v>
      </c>
      <c r="E13" s="12">
        <f>SUM(E10:E12)</f>
        <v>0</v>
      </c>
      <c r="F13" s="13" t="s">
        <v>3</v>
      </c>
      <c r="G13" s="1"/>
    </row>
    <row r="14" spans="1:7" x14ac:dyDescent="0.25">
      <c r="A14" s="1"/>
      <c r="B14" s="33" t="s">
        <v>235</v>
      </c>
      <c r="C14" s="12">
        <f>C13*(1+'Fane 15. Nøgletal'!C16)^2</f>
        <v>3021642.7419763198</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ChKS51bHjTTG2K+xawpfVtZsA1OkxMfoZfu38U+0r4tVXUykvP7oNScLggyZf7u8vyLGAsrw1Q9g5T4os9FcQ==" saltValue="hpHP8sr+MUbU8OTYBkxD2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HORie6w/na8OpfZM4mzdJhBlJdVwkF49AUkSN7sQRTxt4Dr6IES+NiGXsL5jt9P7YhI8RN/J1W6NN3fyBD+MQ==" saltValue="uxk3xzMtZtki9/Cp0Jy5F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JXbhxkY1jCeWe+JOEyosIFBl3A6RpYhNF821vr5TIJuZN6+BL7O5Hy79rt7WZ2tIBufkA8agWHpjFR7TentPg==" saltValue="5KPJeY1Uvk+aprot7PReT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y5IukrOI508gvC+dOf3T8cOgMNeK+MBbu+yjw7qUhKsaKkj7dNLOtrVdIve4qGJtgtG86nkrm03Wz7WxslNaQ==" saltValue="tjjv8aFgD7aSXpuMjtLlt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96501759.366691917</v>
      </c>
      <c r="D9" s="8" t="s">
        <v>3</v>
      </c>
      <c r="E9" s="1"/>
    </row>
    <row r="10" spans="1:5" ht="17.25" customHeight="1" x14ac:dyDescent="0.25">
      <c r="A10" s="1"/>
      <c r="B10" s="87" t="s">
        <v>36</v>
      </c>
      <c r="C10" s="7">
        <f>'Fane 11.1. Varige tillæg'!C20</f>
        <v>200752.1152</v>
      </c>
      <c r="D10" s="8" t="s">
        <v>3</v>
      </c>
      <c r="E10" s="1"/>
    </row>
    <row r="11" spans="1:5" ht="17.25" customHeight="1" x14ac:dyDescent="0.25">
      <c r="A11" s="1"/>
      <c r="B11" s="87" t="s">
        <v>37</v>
      </c>
      <c r="C11" s="9">
        <f>'Fane 11.1. Varige tillæg'!E20</f>
        <v>1268283.1336000001</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7916040.2049317462</v>
      </c>
      <c r="D16" s="8" t="s">
        <v>3</v>
      </c>
      <c r="E16" s="1"/>
    </row>
    <row r="17" spans="1:5" ht="17.25" customHeight="1" x14ac:dyDescent="0.25">
      <c r="A17" s="1"/>
      <c r="B17" s="87" t="s">
        <v>10</v>
      </c>
      <c r="C17" s="41">
        <f>-SUM(C9,C10:C16)*'Fane 5. Individuelt eff. krav'!G9</f>
        <v>-332674.77085441106</v>
      </c>
      <c r="D17" s="8" t="s">
        <v>3</v>
      </c>
      <c r="E17" s="1"/>
    </row>
    <row r="18" spans="1:5" ht="17.25" customHeight="1" x14ac:dyDescent="0.25">
      <c r="A18" s="1"/>
      <c r="B18" s="87" t="s">
        <v>23</v>
      </c>
      <c r="C18" s="41">
        <f>-'Fane 4.1. Gen. krav - drift'!G54</f>
        <v>-956995.105672576</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104597164.94389667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2970646.9180684797</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3021642.7419763198</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-69926.238115130531</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2951716.5038611894</v>
      </c>
      <c r="D30" s="11" t="s">
        <v>3</v>
      </c>
      <c r="E30" s="1"/>
    </row>
    <row r="31" spans="1:5" x14ac:dyDescent="0.25">
      <c r="A31" s="1"/>
      <c r="B31" s="33" t="s">
        <v>116</v>
      </c>
      <c r="C31" s="28"/>
      <c r="D31" s="19"/>
      <c r="E31" s="1"/>
    </row>
    <row r="32" spans="1:5" x14ac:dyDescent="0.25">
      <c r="A32" s="1"/>
      <c r="B32" s="31" t="s">
        <v>138</v>
      </c>
      <c r="C32" s="10">
        <f>'Fane 7. Kontrol af ØR2022'!E31</f>
        <v>-572114.5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292</v>
      </c>
      <c r="C37" s="28"/>
      <c r="D37" s="19"/>
      <c r="E37" s="1"/>
    </row>
    <row r="38" spans="1:5" x14ac:dyDescent="0.25">
      <c r="A38" s="1"/>
      <c r="B38" s="70" t="s">
        <v>293</v>
      </c>
      <c r="C38" s="10">
        <v>522525.88163138018</v>
      </c>
      <c r="D38" s="11" t="s">
        <v>3</v>
      </c>
      <c r="E38" s="1"/>
    </row>
    <row r="39" spans="1:5" x14ac:dyDescent="0.25">
      <c r="A39" s="1"/>
      <c r="B39" s="33" t="s">
        <v>108</v>
      </c>
      <c r="C39" s="49">
        <f>SUM(C34,C32,C24,C30,C22,C20,C36,C38)</f>
        <v>110469939.74745771</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0qJ5APU5aGFuJqOHpW/ekzpuhSZuRBL9ddzAqTkCUL3AlHosmvdCMMH1xQdSkn3pBySSORZllUK/a6jxz2QVGw==" saltValue="QswB4j3GrQ9FTRP+MrgnW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D4PAC7rNl9cRnL5lut41MOHIT982vaNB8fHgmcNfrrasdt18EbQRXYuLgTSbu/ChPn/qYw7QScSgKaDqrYqoZQ==" saltValue="pjydDD4UNQEx0HRsPBWMV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104597164.94389667</v>
      </c>
      <c r="D9" s="8" t="s">
        <v>3</v>
      </c>
      <c r="E9" s="1"/>
    </row>
    <row r="10" spans="1:5" ht="15" customHeight="1" x14ac:dyDescent="0.25">
      <c r="A10" s="1"/>
      <c r="B10" s="26" t="s">
        <v>19</v>
      </c>
      <c r="C10" s="7">
        <f>SUM(C9:C9)*'Fane 15. Nøgletal'!C16</f>
        <v>8451450.9274668507</v>
      </c>
      <c r="D10" s="8" t="s">
        <v>3</v>
      </c>
      <c r="E10" s="1"/>
    </row>
    <row r="11" spans="1:5" ht="15" customHeight="1" x14ac:dyDescent="0.25">
      <c r="A11" s="1"/>
      <c r="B11" s="26" t="s">
        <v>10</v>
      </c>
      <c r="C11" s="9">
        <f>-SUM(C9:C10)*'Fane 5. Individuelt eff. krav'!G9</f>
        <v>-355175.6216360167</v>
      </c>
      <c r="D11" s="8" t="s">
        <v>3</v>
      </c>
      <c r="E11" s="1"/>
    </row>
    <row r="12" spans="1:5" ht="15" customHeight="1" x14ac:dyDescent="0.25">
      <c r="A12" s="1"/>
      <c r="B12" s="26" t="s">
        <v>23</v>
      </c>
      <c r="C12" s="9">
        <f>-'Fane 4.1. Gen. krav - drift'!G59</f>
        <v>-1013633.9040067018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111679806.3457208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3210675.1890484127</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-572114.5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114318367.03476921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8Fw7zwke6tpmMZ/EVZ0y4xEt3lKvPiB+54cyP16XAqoI2uNyIk8m4gTz3dELm93MzFdisNPk3I4SUnuNctbEQ==" saltValue="dY50C+wB1JjfOqNz8HN0T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111679806.3457208</v>
      </c>
      <c r="D9" s="8" t="s">
        <v>3</v>
      </c>
      <c r="E9" s="1"/>
    </row>
    <row r="10" spans="1:5" ht="15" customHeight="1" x14ac:dyDescent="0.25">
      <c r="A10" s="1"/>
      <c r="B10" s="26" t="s">
        <v>19</v>
      </c>
      <c r="C10" s="7">
        <f>SUM(C9:C9)*'Fane 15. Nøgletal'!C16</f>
        <v>9023728.3527342398</v>
      </c>
      <c r="D10" s="8" t="s">
        <v>3</v>
      </c>
      <c r="E10" s="1"/>
    </row>
    <row r="11" spans="1:5" ht="15" customHeight="1" x14ac:dyDescent="0.25">
      <c r="A11" s="1"/>
      <c r="B11" s="26" t="s">
        <v>10</v>
      </c>
      <c r="C11" s="9">
        <f>-SUM(C9:C10)*'Fane 5. Individuelt eff. krav'!G9</f>
        <v>-379225.81041567598</v>
      </c>
      <c r="D11" s="8" t="s">
        <v>3</v>
      </c>
      <c r="E11" s="1"/>
    </row>
    <row r="12" spans="1:5" ht="15" customHeight="1" x14ac:dyDescent="0.25">
      <c r="A12" s="1"/>
      <c r="B12" s="26" t="s">
        <v>23</v>
      </c>
      <c r="C12" s="9">
        <f>-'Fane 4.1. Gen. krav - drift'!G64</f>
        <v>-1073624.8129814344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119250684.07505792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3470097.7443235246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122720781.81938145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6UnZ/XXEPfkeeTPHB2GGoTKwhQoGcZxjZilZcTzvO356DhMtuJnfdzsrveK7l24xlwRiEMmBczEClg5198aBw==" saltValue="lPX/m66ZlN1m97chOEGNi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119250684.07505792</v>
      </c>
      <c r="D9" s="8" t="s">
        <v>3</v>
      </c>
      <c r="E9" s="1"/>
      <c r="F9" s="1"/>
    </row>
    <row r="10" spans="1:6" ht="15" customHeight="1" x14ac:dyDescent="0.25">
      <c r="A10" s="1"/>
      <c r="B10" s="26" t="s">
        <v>19</v>
      </c>
      <c r="C10" s="7">
        <f>SUM(C9:C9)*'Fane 15. Nøgletal'!C16</f>
        <v>9635455.2732646801</v>
      </c>
      <c r="D10" s="8" t="s">
        <v>3</v>
      </c>
      <c r="E10" s="1"/>
      <c r="F10" s="1"/>
    </row>
    <row r="11" spans="1:6" ht="15" customHeight="1" x14ac:dyDescent="0.25">
      <c r="A11" s="1"/>
      <c r="B11" s="26" t="s">
        <v>10</v>
      </c>
      <c r="C11" s="9">
        <f>-SUM(C9:C10)*'Fane 5. Individuelt eff. krav'!G9</f>
        <v>-404933.88008744863</v>
      </c>
      <c r="D11" s="8" t="s">
        <v>3</v>
      </c>
      <c r="E11" s="1"/>
      <c r="F11" s="1"/>
    </row>
    <row r="12" spans="1:6" ht="15" customHeight="1" x14ac:dyDescent="0.25">
      <c r="A12" s="1"/>
      <c r="B12" s="26" t="s">
        <v>23</v>
      </c>
      <c r="C12" s="9">
        <f>-'Fane 4.1. Gen. krav - drift'!G69</f>
        <v>-1137166.2239129276</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127344039.24432223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3750481.6420648652</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131094520.88638709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x+5d12MZhO1pDCVD8sp7nxXxHw5uVOzrDbsLKh+1xWnXElauqQLisPyFaRIyn/MlO7/8fOSZ2WwMpi5aRQoWg==" saltValue="rOd5S5jpKEfoix3SwtDIR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99126441.480499879</v>
      </c>
      <c r="D9" s="8" t="s">
        <v>3</v>
      </c>
      <c r="E9" s="1"/>
    </row>
    <row r="10" spans="1:5" x14ac:dyDescent="0.25">
      <c r="A10" s="1"/>
      <c r="B10" s="87" t="s">
        <v>36</v>
      </c>
      <c r="C10" s="7">
        <v>163660.0104</v>
      </c>
      <c r="D10" s="8" t="s">
        <v>3</v>
      </c>
      <c r="E10" s="1"/>
    </row>
    <row r="11" spans="1:5" x14ac:dyDescent="0.25">
      <c r="A11" s="1"/>
      <c r="B11" s="87" t="s">
        <v>37</v>
      </c>
      <c r="C11" s="9">
        <v>51378.1872</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334772.6167202096</v>
      </c>
      <c r="D16" s="8" t="s">
        <v>3</v>
      </c>
      <c r="E16" s="1"/>
    </row>
    <row r="17" spans="1:5" x14ac:dyDescent="0.25">
      <c r="A17" s="1"/>
      <c r="B17" s="87" t="s">
        <v>10</v>
      </c>
      <c r="C17" s="41">
        <v>-1338038.8641779027</v>
      </c>
      <c r="D17" s="8" t="s">
        <v>3</v>
      </c>
      <c r="E17" s="1"/>
    </row>
    <row r="18" spans="1:5" x14ac:dyDescent="0.25">
      <c r="A18" s="1"/>
      <c r="B18" s="87" t="s">
        <v>23</v>
      </c>
      <c r="C18" s="41">
        <v>-899424.1302270547</v>
      </c>
      <c r="D18" s="8" t="s">
        <v>3</v>
      </c>
      <c r="E18" s="1"/>
    </row>
    <row r="19" spans="1:5" x14ac:dyDescent="0.25">
      <c r="A19" s="1"/>
      <c r="B19" s="87" t="s">
        <v>24</v>
      </c>
      <c r="C19" s="41">
        <v>-937029.93372321071</v>
      </c>
      <c r="D19" s="8" t="s">
        <v>3</v>
      </c>
      <c r="E19" s="47"/>
    </row>
    <row r="20" spans="1:5" x14ac:dyDescent="0.25">
      <c r="A20" s="1"/>
      <c r="B20" s="81" t="s">
        <v>21</v>
      </c>
      <c r="C20" s="10">
        <v>96501759.366691917</v>
      </c>
      <c r="D20" s="11" t="s">
        <v>3</v>
      </c>
      <c r="E20" s="1"/>
    </row>
    <row r="21" spans="1:5" x14ac:dyDescent="0.25">
      <c r="A21" s="1"/>
      <c r="B21" s="33" t="s">
        <v>12</v>
      </c>
      <c r="C21" s="28"/>
      <c r="D21" s="19"/>
      <c r="E21" s="1"/>
    </row>
    <row r="22" spans="1:5" x14ac:dyDescent="0.25">
      <c r="A22" s="1"/>
      <c r="B22" s="31" t="s">
        <v>12</v>
      </c>
      <c r="C22" s="10">
        <v>2615614.9050873602</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99117374.271779284</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sIFC/tc4lInKEWe6ZlFWDYkQ72l1O53JHnNbCLHaMsCII7UJnJLlo0Thoi6f3RtGckBP5aDJxOxeC1P2aryfqQ==" saltValue="rxjGgGUO0ZJqWB1xDT861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43844294.323008828</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876885.88646017655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43719338.084188253</v>
      </c>
      <c r="H11" s="14" t="s">
        <v>3</v>
      </c>
      <c r="I11" s="1"/>
    </row>
    <row r="12" spans="1:9" ht="15" customHeight="1" x14ac:dyDescent="0.25">
      <c r="A12" s="1"/>
      <c r="B12" s="119" t="s">
        <v>103</v>
      </c>
      <c r="C12" s="120"/>
      <c r="D12" s="120"/>
      <c r="E12" s="120"/>
      <c r="F12" s="121"/>
      <c r="G12" s="66">
        <v>1978.4107200033964</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874426.32989816519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43596710.742897771</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871934.21485795546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43566454.625642203</v>
      </c>
      <c r="H25" s="14" t="s">
        <v>3</v>
      </c>
      <c r="I25" s="1"/>
    </row>
    <row r="26" spans="1:9" x14ac:dyDescent="0.25">
      <c r="A26" s="1"/>
      <c r="B26" s="122" t="s">
        <v>246</v>
      </c>
      <c r="C26" s="123"/>
      <c r="D26" s="123"/>
      <c r="E26" s="123"/>
      <c r="F26" s="124"/>
      <c r="G26" s="66">
        <v>0</v>
      </c>
      <c r="H26" s="14" t="s">
        <v>3</v>
      </c>
      <c r="I26" s="1"/>
    </row>
    <row r="27" spans="1:9" x14ac:dyDescent="0.25">
      <c r="A27" s="1"/>
      <c r="B27" s="119" t="s">
        <v>45</v>
      </c>
      <c r="C27" s="120"/>
      <c r="D27" s="120"/>
      <c r="E27" s="120"/>
      <c r="F27" s="121"/>
      <c r="G27" s="23">
        <f>(G25+G26)*'Fane 15. Nøgletal'!C33</f>
        <v>871329.09251284413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43536219.506132007</v>
      </c>
      <c r="H31" s="14" t="s">
        <v>3</v>
      </c>
      <c r="I31" s="1"/>
    </row>
    <row r="32" spans="1:9" x14ac:dyDescent="0.25">
      <c r="A32" s="1"/>
      <c r="B32" s="119" t="s">
        <v>243</v>
      </c>
      <c r="C32" s="120"/>
      <c r="D32" s="120"/>
      <c r="E32" s="120"/>
      <c r="F32" s="121"/>
      <c r="G32" s="63">
        <v>2018084.5866131999</v>
      </c>
      <c r="H32" s="14" t="s">
        <v>3</v>
      </c>
      <c r="I32" s="1"/>
    </row>
    <row r="33" spans="1:9" x14ac:dyDescent="0.25">
      <c r="A33" s="1"/>
      <c r="B33" s="119" t="s">
        <v>54</v>
      </c>
      <c r="C33" s="120"/>
      <c r="D33" s="120"/>
      <c r="E33" s="120"/>
      <c r="F33" s="121"/>
      <c r="G33" s="23">
        <f>(G31+G32)*'Fane 15. Nøgletal'!C33</f>
        <v>911086.08185490419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44790540.630326249</v>
      </c>
      <c r="H37" s="14" t="s">
        <v>3</v>
      </c>
      <c r="I37" s="1"/>
    </row>
    <row r="38" spans="1:9" x14ac:dyDescent="0.25">
      <c r="A38" s="1"/>
      <c r="B38" s="119" t="s">
        <v>242</v>
      </c>
      <c r="C38" s="120"/>
      <c r="D38" s="120"/>
      <c r="E38" s="120"/>
      <c r="F38" s="121"/>
      <c r="G38" s="63">
        <v>775133.6695682701</v>
      </c>
      <c r="H38" s="14" t="s">
        <v>3</v>
      </c>
      <c r="I38" s="1"/>
    </row>
    <row r="39" spans="1:9" x14ac:dyDescent="0.25">
      <c r="A39" s="1"/>
      <c r="B39" s="119" t="s">
        <v>128</v>
      </c>
      <c r="C39" s="120"/>
      <c r="D39" s="120"/>
      <c r="E39" s="120"/>
      <c r="F39" s="121"/>
      <c r="G39" s="23">
        <f>(G37+G38)*'Fane 15. Nøgletal'!C33</f>
        <v>911313.48599789036</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44801720.20458249</v>
      </c>
      <c r="H43" s="14" t="s">
        <v>3</v>
      </c>
      <c r="I43" s="1"/>
    </row>
    <row r="44" spans="1:9" x14ac:dyDescent="0.25">
      <c r="A44" s="1"/>
      <c r="B44" s="125" t="s">
        <v>157</v>
      </c>
      <c r="C44" s="126"/>
      <c r="D44" s="126"/>
      <c r="E44" s="126"/>
      <c r="F44" s="127"/>
      <c r="G44" s="45">
        <v>169486.30677024001</v>
      </c>
      <c r="H44" s="14" t="s">
        <v>3</v>
      </c>
      <c r="I44" s="1"/>
    </row>
    <row r="45" spans="1:9" x14ac:dyDescent="0.25">
      <c r="A45" s="1"/>
      <c r="B45" s="119" t="s">
        <v>129</v>
      </c>
      <c r="C45" s="120"/>
      <c r="D45" s="120"/>
      <c r="E45" s="120"/>
      <c r="F45" s="121"/>
      <c r="G45" s="23">
        <f>SUM(G43:G44)*'Fane 15. Nøgletal'!C33</f>
        <v>899424.1302270547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47632782.397520639</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216972.88610815999</v>
      </c>
      <c r="H53" s="14" t="s">
        <v>3</v>
      </c>
      <c r="I53" s="1"/>
    </row>
    <row r="54" spans="1:9" x14ac:dyDescent="0.25">
      <c r="A54" s="1"/>
      <c r="B54" s="119" t="s">
        <v>210</v>
      </c>
      <c r="C54" s="120"/>
      <c r="D54" s="120"/>
      <c r="E54" s="120"/>
      <c r="F54" s="121"/>
      <c r="G54" s="23">
        <f>(G52)*'Fane 15. Nøgletal'!C33+(G53)*'Fane 15. Nøgletal'!C33</f>
        <v>956995.105672576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50681695.200335085</v>
      </c>
      <c r="H58" s="14" t="s">
        <v>3</v>
      </c>
      <c r="I58" s="1"/>
    </row>
    <row r="59" spans="1:9" x14ac:dyDescent="0.25">
      <c r="A59" s="1"/>
      <c r="B59" s="77" t="s">
        <v>211</v>
      </c>
      <c r="C59" s="78"/>
      <c r="D59" s="78"/>
      <c r="E59" s="78"/>
      <c r="F59" s="79"/>
      <c r="G59" s="23">
        <f>(G58)*'Fane 15. Nøgletal'!C33</f>
        <v>1013633.9040067018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53681240.649071716</v>
      </c>
      <c r="H63" s="14" t="s">
        <v>3</v>
      </c>
      <c r="I63" s="1"/>
    </row>
    <row r="64" spans="1:9" x14ac:dyDescent="0.25">
      <c r="A64" s="1"/>
      <c r="B64" s="77" t="s">
        <v>214</v>
      </c>
      <c r="C64" s="78"/>
      <c r="D64" s="78"/>
      <c r="E64" s="78"/>
      <c r="F64" s="79"/>
      <c r="G64" s="23">
        <f>(G63)*'Fane 15. Nøgletal'!C33</f>
        <v>1073624.8129814344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56858311.195646375</v>
      </c>
      <c r="H68" s="14" t="s">
        <v>3</v>
      </c>
      <c r="I68" s="1"/>
    </row>
    <row r="69" spans="1:9" x14ac:dyDescent="0.25">
      <c r="A69" s="1"/>
      <c r="B69" s="77" t="s">
        <v>214</v>
      </c>
      <c r="C69" s="78"/>
      <c r="D69" s="78"/>
      <c r="E69" s="78"/>
      <c r="F69" s="79"/>
      <c r="G69" s="23">
        <f>(G68)*'Fane 15. Nøgletal'!C33</f>
        <v>1137166.2239129276</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9cuFpJbyLxuVjYqBtNfGHu8jFiFeCMF0BrC7XuFgz8HQmsHXaJ+l3kXsVDJ0SA52YxEH56843p+9gdAAVZIx6A==" saltValue="E10SYeHRQKBeA5Ky3UR3O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62712116.447401807</v>
      </c>
      <c r="H5" s="14" t="s">
        <v>3</v>
      </c>
      <c r="I5" s="1"/>
    </row>
    <row r="6" spans="1:9" x14ac:dyDescent="0.25">
      <c r="A6" s="1"/>
      <c r="B6" s="119" t="s">
        <v>51</v>
      </c>
      <c r="C6" s="120"/>
      <c r="D6" s="120"/>
      <c r="E6" s="120"/>
      <c r="F6" s="121"/>
      <c r="G6" s="23">
        <f>G5*'Fane 15. Nøgletal'!C21</f>
        <v>570680.25967135641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63228911.321015738</v>
      </c>
      <c r="H10" s="14" t="s">
        <v>3</v>
      </c>
      <c r="I10" s="1"/>
    </row>
    <row r="11" spans="1:9" x14ac:dyDescent="0.25">
      <c r="A11" s="1"/>
      <c r="B11" s="119" t="s">
        <v>104</v>
      </c>
      <c r="C11" s="120"/>
      <c r="D11" s="120"/>
      <c r="E11" s="120"/>
      <c r="F11" s="121"/>
      <c r="G11" s="63">
        <v>-725183.87095605722</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1106315.9758660565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62471866.174992017</v>
      </c>
      <c r="H17" s="14" t="s">
        <v>3</v>
      </c>
      <c r="I17" s="1"/>
    </row>
    <row r="18" spans="1:9" x14ac:dyDescent="0.25">
      <c r="A18" s="1"/>
      <c r="B18" s="122" t="s">
        <v>248</v>
      </c>
      <c r="C18" s="123"/>
      <c r="D18" s="123"/>
      <c r="E18" s="123"/>
      <c r="F18" s="124"/>
      <c r="G18" s="63">
        <v>0</v>
      </c>
      <c r="H18" s="14" t="s">
        <v>3</v>
      </c>
      <c r="I18" s="1"/>
    </row>
    <row r="19" spans="1:9" x14ac:dyDescent="0.25">
      <c r="A19" s="1"/>
      <c r="B19" s="119" t="s">
        <v>61</v>
      </c>
      <c r="C19" s="120"/>
      <c r="D19" s="120"/>
      <c r="E19" s="120"/>
      <c r="F19" s="121"/>
      <c r="G19" s="23">
        <f>G17*'Fane 15. Nøgletal'!C22+G18*'Fane 15. Nøgletal'!C23</f>
        <v>1105752.0312973587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62575026.592325449</v>
      </c>
      <c r="H23" s="14" t="s">
        <v>3</v>
      </c>
      <c r="I23" s="1"/>
    </row>
    <row r="24" spans="1:9" x14ac:dyDescent="0.25">
      <c r="A24" s="1"/>
      <c r="B24" s="122" t="s">
        <v>249</v>
      </c>
      <c r="C24" s="123"/>
      <c r="D24" s="123"/>
      <c r="E24" s="123"/>
      <c r="F24" s="124"/>
      <c r="G24" s="63">
        <v>172924.03788363002</v>
      </c>
      <c r="H24" s="14" t="s">
        <v>3</v>
      </c>
      <c r="I24" s="1"/>
    </row>
    <row r="25" spans="1:9" x14ac:dyDescent="0.25">
      <c r="A25" s="1"/>
      <c r="B25" s="119" t="s">
        <v>64</v>
      </c>
      <c r="C25" s="120"/>
      <c r="D25" s="120"/>
      <c r="E25" s="120"/>
      <c r="F25" s="121"/>
      <c r="G25" s="23">
        <f>(G23+G24)*'Fane 15. Nøgletal'!C24</f>
        <v>1782041.7978979379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62166937.236307681</v>
      </c>
      <c r="H29" s="14" t="s">
        <v>3</v>
      </c>
      <c r="I29" s="1"/>
    </row>
    <row r="30" spans="1:9" x14ac:dyDescent="0.25">
      <c r="A30" s="1"/>
      <c r="B30" s="119" t="s">
        <v>250</v>
      </c>
      <c r="C30" s="120"/>
      <c r="D30" s="120"/>
      <c r="E30" s="120"/>
      <c r="F30" s="121"/>
      <c r="G30" s="63">
        <v>2490261.23866212</v>
      </c>
      <c r="H30" s="14" t="s">
        <v>3</v>
      </c>
      <c r="I30" s="1"/>
    </row>
    <row r="31" spans="1:9" x14ac:dyDescent="0.25">
      <c r="A31" s="1"/>
      <c r="B31" s="119" t="s">
        <v>67</v>
      </c>
      <c r="C31" s="120"/>
      <c r="D31" s="120"/>
      <c r="E31" s="120"/>
      <c r="F31" s="121"/>
      <c r="G31" s="23">
        <f>G29*'Fane 15. Nøgletal'!C24+G30*'Fane 15. Nøgletal'!C25</f>
        <v>1834023.2015743465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63030491.751797669</v>
      </c>
      <c r="H35" s="14" t="s">
        <v>3</v>
      </c>
      <c r="I35" s="1"/>
    </row>
    <row r="36" spans="1:9" x14ac:dyDescent="0.25">
      <c r="A36" s="1"/>
      <c r="B36" s="119" t="s">
        <v>251</v>
      </c>
      <c r="C36" s="120"/>
      <c r="D36" s="120"/>
      <c r="E36" s="120"/>
      <c r="F36" s="121"/>
      <c r="G36" s="63">
        <v>1022074.4464921801</v>
      </c>
      <c r="H36" s="14" t="s">
        <v>3</v>
      </c>
      <c r="I36" s="1"/>
    </row>
    <row r="37" spans="1:9" x14ac:dyDescent="0.25">
      <c r="A37" s="1"/>
      <c r="B37" s="119" t="s">
        <v>131</v>
      </c>
      <c r="C37" s="120"/>
      <c r="D37" s="120"/>
      <c r="E37" s="120"/>
      <c r="F37" s="121"/>
      <c r="G37" s="23">
        <f>(G35+G36)*'Fane 15. Nøgletal'!C26</f>
        <v>947977.97973468981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63312833.359676398</v>
      </c>
      <c r="H41" s="14" t="s">
        <v>3</v>
      </c>
      <c r="I41" s="1"/>
    </row>
    <row r="42" spans="1:9" x14ac:dyDescent="0.25">
      <c r="A42" s="1"/>
      <c r="B42" s="40" t="s">
        <v>156</v>
      </c>
      <c r="C42" s="78"/>
      <c r="D42" s="78"/>
      <c r="E42" s="78"/>
      <c r="F42" s="79"/>
      <c r="G42" s="23">
        <v>53207.250664320003</v>
      </c>
      <c r="H42" s="14" t="s">
        <v>3</v>
      </c>
      <c r="I42" s="1"/>
    </row>
    <row r="43" spans="1:9" x14ac:dyDescent="0.25">
      <c r="A43" s="1"/>
      <c r="B43" s="119" t="s">
        <v>132</v>
      </c>
      <c r="C43" s="120"/>
      <c r="D43" s="120"/>
      <c r="E43" s="120"/>
      <c r="F43" s="121"/>
      <c r="G43" s="23">
        <f>(G41)*'Fane 15. Nøgletal'!C26+G42*'Fane 15. Nøgletal'!C27</f>
        <v>937029.93372321071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67473274.739288211</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1370760.41079488</v>
      </c>
      <c r="H54" s="14" t="s">
        <v>3</v>
      </c>
      <c r="I54" s="1"/>
    </row>
    <row r="55" spans="1:9" x14ac:dyDescent="0.25">
      <c r="A55" s="1"/>
      <c r="B55" s="119" t="s">
        <v>218</v>
      </c>
      <c r="C55" s="120"/>
      <c r="D55" s="120"/>
      <c r="E55" s="120"/>
      <c r="F55" s="121"/>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74406633.190209806</v>
      </c>
      <c r="H59" s="14" t="s">
        <v>3</v>
      </c>
      <c r="I59" s="1"/>
    </row>
    <row r="60" spans="1:9" x14ac:dyDescent="0.25">
      <c r="A60" s="1"/>
      <c r="B60" s="119" t="s">
        <v>220</v>
      </c>
      <c r="C60" s="120"/>
      <c r="D60" s="120"/>
      <c r="E60" s="120"/>
      <c r="F60" s="121"/>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80418689.151978761</v>
      </c>
      <c r="H64" s="14" t="s">
        <v>3</v>
      </c>
      <c r="I64" s="1"/>
    </row>
    <row r="65" spans="1:9" x14ac:dyDescent="0.25">
      <c r="A65" s="1"/>
      <c r="B65" s="119" t="s">
        <v>222</v>
      </c>
      <c r="C65" s="120"/>
      <c r="D65" s="120"/>
      <c r="E65" s="120"/>
      <c r="F65" s="121"/>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86916519.235458642</v>
      </c>
      <c r="H69" s="14" t="s">
        <v>3</v>
      </c>
      <c r="I69" s="1"/>
    </row>
    <row r="70" spans="1:9" x14ac:dyDescent="0.25">
      <c r="A70" s="1"/>
      <c r="B70" s="119" t="s">
        <v>222</v>
      </c>
      <c r="C70" s="120"/>
      <c r="D70" s="120"/>
      <c r="E70" s="120"/>
      <c r="F70" s="121"/>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NRpeescNXZHs3MUGBHPTLEhOsOoCnEvqHSFKawYujNb22SGxD6llbnp7iA5UEGE1JgiBU/fdL/AcJHOpPqOfw==" saltValue="+OPIGQ+HKaZKe/8WxxzCk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3.1417954027864103E-3</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Oiz5inEsS3m+b8TNOfqmsJjwmKZsw5P+XZbzjMojwp6wSXHTN3MCudikE+x3Hyd4uvLtp4gKYxfYAWswFDpgMA==" saltValue="Z/+hveuoI00HmpZn9AfPY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2024-02-12T13:13:02Z</dcterms:modified>
</cp:coreProperties>
</file>