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Horsens Vand AS (V097)\ØR2024\"/>
    </mc:Choice>
  </mc:AlternateContent>
  <xr:revisionPtr revIDLastSave="0" documentId="13_ncr:1_{0DBDB71F-F127-4F95-A645-3377296E8193}"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c r="E31" i="42" l="1"/>
  <c r="E33" i="42" s="1"/>
  <c r="E27" i="42"/>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<sst xmlns="http://schemas.openxmlformats.org/spreadsheetml/2006/main" count="552" uniqueCount="264">
  <si>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</si>
  <si>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</si>
  <si>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</si>
  <si>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</si>
  <si>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</si>
  <si>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</si>
  <si>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</si>
  <si>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</si>
  <si>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</si>
  <si>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</si>
  <si>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</si>
  <si>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</si>
  <si>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</si>
  <si>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</si>
  <si>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</si>
  <si>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</si>
  <si>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</si>
  <si>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</si>
  <si>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</si>
  <si>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</si>
  <si>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</si>
  <si>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</si>
  <si>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</si>
  <si>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</si>
  <si>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</si>
  <si>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</si>
  <si>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</si>
  <si>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</si>
  <si>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</si>
  <si>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</si>
  <si>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</si>
  <si>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</si>
  <si>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</si>
  <si>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</si>
  <si>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</si>
  <si>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</si>
  <si>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</si>
  <si>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</si>
  <si>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</si>
  <si>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</si>
  <si>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</si>
  <si>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</si>
  <si>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</si>
  <si>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</si>
  <si>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</si>
  <si>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</si>
  <si>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</si>
  <si>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</si>
  <si>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</si>
  <si>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</si>
  <si>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</si>
  <si>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</si>
  <si>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</si>
  <si>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</si>
  <si>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</si>
  <si>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</si>
  <si>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</si>
  <si>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</si>
  <si>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</si>
  <si>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</si>
  <si>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</si>
  <si>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</si>
  <si>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</si>
  <si>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</si>
  <si>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</si>
  <si>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</si>
  <si>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</si>
  <si>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</si>
  <si>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</si>
  <si>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</si>
  <si>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</si>
  <si>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</si>
  <si>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</si>
  <si>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</si>
  <si>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</si>
  <si>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</si>
  <si>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</si>
  <si>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</si>
  <si>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</si>
  <si>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</si>
  <si>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</si>
  <si>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</si>
  <si>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</si>
  <si>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</si>
  <si>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</si>
  <si>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</si>
  <si>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</si>
  <si>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</si>
  <si>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</si>
  <si>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</si>
  <si>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</si>
  <si>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</si>
  <si>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</si>
  <si>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</si>
  <si>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</si>
  <si>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</si>
  <si>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</si>
  <si>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</si>
  <si>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</si>
  <si>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</si>
  <si>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</si>
  <si>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</si>
  <si>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</si>
  <si>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</si>
  <si>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</si>
  <si>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</si>
  <si>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</si>
  <si>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</si>
  <si>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</si>
  <si>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</si>
  <si>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</si>
  <si>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</si>
  <si>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</si>
  <si>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</si>
  <si>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</si>
  <si>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</si>
  <si>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</si>
  <si>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</si>
  <si>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</si>
  <si>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</si>
  <si>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</si>
  <si>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</si>
  <si>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</si>
  <si>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</si>
  <si>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</si>
  <si>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</si>
  <si>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</si>
  <si>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</si>
  <si>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</si>
  <si>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</si>
  <si>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</si>
  <si>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</si>
  <si>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</si>
  <si>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</si>
  <si>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</si>
  <si>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</si>
  <si>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</si>
  <si>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</si>
  <si>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</si>
  <si>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</si>
  <si>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</si>
  <si>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</si>
  <si>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</si>
  <si>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</si>
  <si>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</si>
  <si>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</si>
  <si>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</si>
  <si>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</si>
  <si>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</si>
  <si>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</si>
  <si>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</si>
  <si>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</si>
  <si>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</si>
  <si>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</si>
  <si>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</si>
  <si>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</si>
  <si>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</si>
  <si>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</si>
  <si>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</si>
  <si>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</si>
  <si>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</si>
  <si>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</si>
  <si>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</si>
  <si>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</si>
  <si>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</si>
  <si>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</si>
  <si>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</si>
  <si>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</si>
  <si>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</si>
  <si>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</si>
  <si>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</si>
  <si>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</si>
  <si>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</si>
  <si>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</si>
  <si>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</si>
  <si>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</si>
  <si>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</si>
  <si>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</si>
  <si>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</si>
  <si>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</si>
  <si>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</si>
  <si>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</si>
  <si>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</si>
  <si>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</si>
  <si>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</si>
  <si>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</si>
  <si>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</si>
  <si>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</si>
  <si>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</si>
  <si>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</si>
  <si>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</si>
  <si>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</si>
  <si>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</si>
  <si>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</si>
  <si>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</si>
  <si>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</si>
  <si>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</si>
  <si>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</si>
  <si>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</si>
  <si>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</si>
  <si>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</si>
  <si>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</si>
  <si>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</si>
  <si>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</si>
  <si>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</si>
  <si>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</si>
  <si>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</si>
  <si>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</si>
  <si>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</si>
  <si>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</si>
  <si>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</si>
  <si>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</si>
  <si>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</si>
  <si>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</si>
  <si>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</si>
  <si>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</si>
  <si>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</si>
  <si>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</si>
  <si>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</si>
  <si>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</si>
  <si>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</si>
  <si>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</si>
  <si>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</si>
  <si>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</si>
  <si>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</si>
  <si>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</si>
  <si>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</si>
  <si>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</si>
  <si>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</si>
  <si>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</si>
  <si>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</si>
  <si>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</si>
  <si>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</si>
  <si>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</si>
  <si>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</si>
  <si>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</si>
  <si>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</si>
  <si>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</si>
  <si>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</si>
  <si>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</si>
  <si>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</si>
  <si>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</si>
  <si>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</si>
  <si>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</si>
  <si>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</si>
  <si>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</si>
  <si>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Tjenestemandspensioner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</si>
  <si>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</si>
  <si>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</si>
  <si>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</si>
  <si>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</si>
  <si>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</si>
  <si>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</si>
  <si>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</si>
  <si>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</si>
  <si>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</si>
  <si>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</si>
  <si>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</si>
  <si>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</si>
  <si>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</si>
  <si>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Ledningsomlægninger</t>
  </si>
  <si>
    <t>Udvidelser af forsyningsområdet i forbindelse med byggemodninger</t>
  </si>
  <si>
    <t>Ingen engangstillæg</t>
  </si>
  <si>
    <t>Dykkerinspektioner på rentvandsbeholdere, som foretages hvert 5.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</si>
</sst>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5" fontId="8" fillId="4" borderId="1" xfId="1"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10" fontId="8" fillId="0" borderId="0" xfId="0"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8IlhGfhTKvV8NX9HASdMVDoA9ywr3TooFqKkZQWlzunX0cGl6Biu0i0eYHNsDNv+FTbPl7CgpXZ2eduMTGmGjA==" saltValue="j3JeQCH+4lRudvmDuDL8gA=="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27137013.32</v>
      </c>
      <c r="D10" s="14" t="s">
        <v>3</v>
      </c>
      <c r="E10" s="1"/>
      <c r="F10" s="1"/>
    </row>
    <row r="11" spans="1:6" x14ac:dyDescent="0.25">
      <c r="A11" s="1"/>
      <c r="B11" s="71" t="s">
        <v>244</v>
      </c>
      <c r="C11" s="9">
        <v>133729.20000000001</v>
      </c>
      <c r="D11" s="14" t="s">
        <v>3</v>
      </c>
      <c r="E11" s="1"/>
      <c r="F11" s="1"/>
    </row>
    <row r="12" spans="1:6" x14ac:dyDescent="0.25">
      <c r="A12" s="1"/>
      <c r="B12" s="71" t="s">
        <v>245</v>
      </c>
      <c r="C12" s="9">
        <v>418830.15</v>
      </c>
      <c r="D12" s="14" t="s">
        <v>3</v>
      </c>
      <c r="E12" s="1"/>
      <c r="F12" s="1"/>
    </row>
    <row r="13" spans="1:6" x14ac:dyDescent="0.25">
      <c r="A13" s="1"/>
      <c r="B13" s="71" t="s">
        <v>246</v>
      </c>
      <c r="C13" s="9">
        <v>531376</v>
      </c>
      <c r="D13" s="14" t="s">
        <v>3</v>
      </c>
      <c r="E13" s="1"/>
      <c r="F13" s="1"/>
    </row>
    <row r="14" spans="1:6" x14ac:dyDescent="0.25">
      <c r="A14" s="1"/>
      <c r="B14" s="71"/>
      <c r="C14" s="9"/>
      <c r="D14" s="14" t="s">
        <v>3</v>
      </c>
      <c r="E14" s="1"/>
      <c r="F14" s="1"/>
    </row>
    <row r="15" spans="1:6" x14ac:dyDescent="0.25">
      <c r="A15" s="1"/>
      <c r="B15" s="71"/>
      <c r="C15" s="9"/>
      <c r="D15" s="14" t="s">
        <v>3</v>
      </c>
      <c r="E15" s="1"/>
      <c r="F15" s="1"/>
    </row>
    <row r="16" spans="1:6" x14ac:dyDescent="0.25">
      <c r="A16" s="1"/>
      <c r="B16" s="71"/>
      <c r="C16" s="9"/>
      <c r="D16" s="14" t="s">
        <v>3</v>
      </c>
      <c r="E16" s="1"/>
      <c r="F16" s="1"/>
    </row>
    <row r="17" spans="1:6" x14ac:dyDescent="0.25">
      <c r="A17" s="1"/>
      <c r="B17" s="71"/>
      <c r="C17" s="9"/>
      <c r="D17" s="14" t="s">
        <v>3</v>
      </c>
      <c r="E17" s="1"/>
      <c r="F17" s="1"/>
    </row>
    <row r="18" spans="1:6" x14ac:dyDescent="0.25">
      <c r="A18" s="1"/>
      <c r="B18" s="71"/>
      <c r="C18" s="9"/>
      <c r="D18" s="14" t="s">
        <v>3</v>
      </c>
      <c r="E18" s="1"/>
      <c r="F18" s="1"/>
    </row>
    <row r="19" spans="1:6" x14ac:dyDescent="0.25">
      <c r="A19" s="1"/>
      <c r="B19" s="52" t="s">
        <v>213</v>
      </c>
      <c r="C19" s="12">
        <f>SUM(C10:C18)</f>
        <v>28220948.669999998</v>
      </c>
      <c r="D19" s="13" t="s">
        <v>3</v>
      </c>
      <c r="E19" s="1"/>
      <c r="F19" s="1"/>
    </row>
    <row r="20" spans="1:6" x14ac:dyDescent="0.25">
      <c r="A20" s="1"/>
      <c r="B20" s="52" t="s">
        <v>214</v>
      </c>
      <c r="C20" s="12">
        <f>C19*(1+'Fane 13. Nøgletal'!C16)^2</f>
        <v>32965698.389396906</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GU1Fj94SzUxm4dBooXX4RbDdSmBpxBraoJietrozezzH77kaLAdvKiudYr9phynDdAddCtOdwsNAf8bfl9LPnA==" saltValue="uRsTRuYIs15izb8lThWMN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F12F-B211-40AB-B862-219AB84CD830}">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9"/>
      <c r="D6" s="60"/>
      <c r="E6" s="64"/>
      <c r="F6" s="64"/>
      <c r="G6" s="1"/>
    </row>
    <row r="7" spans="1:7" x14ac:dyDescent="0.25">
      <c r="A7" s="1"/>
      <c r="B7" s="1"/>
      <c r="C7" s="1"/>
      <c r="D7" s="1"/>
      <c r="E7" s="61"/>
      <c r="F7" s="1"/>
      <c r="G7" s="1"/>
    </row>
    <row r="8" spans="1:7" x14ac:dyDescent="0.25">
      <c r="A8" s="1"/>
      <c r="B8" s="107" t="s">
        <v>247</v>
      </c>
      <c r="C8" s="108"/>
      <c r="D8" s="108"/>
      <c r="E8" s="108"/>
      <c r="F8" s="109"/>
      <c r="G8" s="1"/>
    </row>
    <row r="9" spans="1:7" x14ac:dyDescent="0.25">
      <c r="A9" s="1"/>
      <c r="B9" s="101" t="s">
        <v>248</v>
      </c>
      <c r="C9" s="102"/>
      <c r="D9" s="103"/>
      <c r="E9" s="28">
        <v>2422199</v>
      </c>
      <c r="F9" s="14" t="s">
        <v>3</v>
      </c>
      <c r="G9" s="1"/>
    </row>
    <row r="10" spans="1:7" x14ac:dyDescent="0.25">
      <c r="A10" s="1"/>
      <c r="B10" s="52"/>
      <c r="C10" s="53"/>
      <c r="D10" s="53"/>
      <c r="E10" s="53"/>
      <c r="F10" s="19"/>
      <c r="G10" s="1"/>
    </row>
    <row r="11" spans="1:7" ht="53.25" customHeight="1" x14ac:dyDescent="0.25">
      <c r="A11" s="1"/>
      <c r="B11" s="119" t="s">
        <v>249</v>
      </c>
      <c r="C11" s="120"/>
      <c r="D11" s="120"/>
      <c r="E11" s="120"/>
      <c r="F11" s="121"/>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250</v>
      </c>
      <c r="C14" s="102"/>
      <c r="D14" s="103"/>
      <c r="E14" s="9">
        <v>0</v>
      </c>
      <c r="F14" s="14" t="s">
        <v>3</v>
      </c>
      <c r="G14" s="1"/>
    </row>
    <row r="15" spans="1:7" x14ac:dyDescent="0.25">
      <c r="A15" s="1"/>
      <c r="B15" s="101" t="s">
        <v>251</v>
      </c>
      <c r="C15" s="102"/>
      <c r="D15" s="103"/>
      <c r="E15" s="9">
        <v>0</v>
      </c>
      <c r="F15" s="14" t="s">
        <v>3</v>
      </c>
      <c r="G15" s="1"/>
    </row>
    <row r="16" spans="1:7" x14ac:dyDescent="0.25">
      <c r="A16" s="1"/>
      <c r="B16" s="52"/>
      <c r="C16" s="53"/>
      <c r="D16" s="53"/>
      <c r="E16" s="53"/>
      <c r="F16" s="19"/>
      <c r="G16" s="1"/>
    </row>
    <row r="17" spans="1:7" ht="32.25" customHeight="1" x14ac:dyDescent="0.25">
      <c r="A17" s="1"/>
      <c r="B17" s="119" t="s">
        <v>252</v>
      </c>
      <c r="C17" s="120"/>
      <c r="D17" s="120"/>
      <c r="E17" s="120"/>
      <c r="F17" s="121"/>
      <c r="G17" s="1"/>
    </row>
    <row r="18" spans="1:7" x14ac:dyDescent="0.25">
      <c r="A18" s="1"/>
      <c r="B18" s="1"/>
      <c r="C18" s="1"/>
      <c r="D18" s="1"/>
      <c r="E18" s="1"/>
      <c r="F18" s="1"/>
      <c r="G18" s="1"/>
    </row>
    <row r="19" spans="1:7" x14ac:dyDescent="0.25">
      <c r="A19" s="1"/>
      <c r="B19" s="65" t="s">
        <v>253</v>
      </c>
      <c r="C19" s="66"/>
      <c r="D19" s="66"/>
      <c r="E19" s="66"/>
      <c r="F19" s="67"/>
      <c r="G19" s="1"/>
    </row>
    <row r="20" spans="1:7" x14ac:dyDescent="0.25">
      <c r="A20" s="1"/>
      <c r="B20" s="68" t="s">
        <v>254</v>
      </c>
      <c r="C20" s="69"/>
      <c r="D20" s="70"/>
      <c r="E20" s="9">
        <v>61645660</v>
      </c>
      <c r="F20" s="14" t="s">
        <v>3</v>
      </c>
      <c r="G20" s="1"/>
    </row>
    <row r="21" spans="1:7" x14ac:dyDescent="0.25">
      <c r="A21" s="1"/>
      <c r="B21" s="68" t="s">
        <v>255</v>
      </c>
      <c r="C21" s="69"/>
      <c r="D21" s="70"/>
      <c r="E21" s="9">
        <v>67789442.579999998</v>
      </c>
      <c r="F21" s="14" t="s">
        <v>3</v>
      </c>
      <c r="G21" s="1"/>
    </row>
    <row r="22" spans="1:7" x14ac:dyDescent="0.25">
      <c r="A22" s="1"/>
      <c r="B22" s="68" t="s">
        <v>29</v>
      </c>
      <c r="C22" s="69"/>
      <c r="D22" s="70"/>
      <c r="E22" s="9">
        <v>0</v>
      </c>
      <c r="F22" s="14" t="s">
        <v>3</v>
      </c>
      <c r="G22" s="1"/>
    </row>
    <row r="23" spans="1:7" x14ac:dyDescent="0.25">
      <c r="A23" s="1"/>
      <c r="B23" s="73" t="s">
        <v>256</v>
      </c>
      <c r="C23" s="74"/>
      <c r="D23" s="75"/>
      <c r="E23" s="10">
        <f>E20-(E21-E22)</f>
        <v>-6143782.5799999982</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7" t="s">
        <v>257</v>
      </c>
      <c r="C26" s="108"/>
      <c r="D26" s="108"/>
      <c r="E26" s="108"/>
      <c r="F26" s="109"/>
      <c r="G26" s="1"/>
    </row>
    <row r="27" spans="1:7" x14ac:dyDescent="0.25">
      <c r="A27" s="1"/>
      <c r="B27" s="129" t="s">
        <v>258</v>
      </c>
      <c r="C27" s="130"/>
      <c r="D27" s="131"/>
      <c r="E27" s="62">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259</v>
      </c>
      <c r="C30" s="108"/>
      <c r="D30" s="108"/>
      <c r="E30" s="108"/>
      <c r="F30" s="109"/>
      <c r="G30" s="1"/>
    </row>
    <row r="31" spans="1:7" x14ac:dyDescent="0.25">
      <c r="A31" s="1"/>
      <c r="B31" s="122" t="s">
        <v>117</v>
      </c>
      <c r="C31" s="123"/>
      <c r="D31" s="124"/>
      <c r="E31" s="63">
        <f>IF(AND(E9&gt;0,(E9+E23)&gt;0),0,IF(AND(E9&gt;0,(E9+E23)&lt;0),(E9+E23),IF(AND(E9&lt;0,E23&lt;0),E23,0)))</f>
        <v>-3721583.5799999982</v>
      </c>
      <c r="F31" s="14" t="s">
        <v>3</v>
      </c>
      <c r="G31" s="1"/>
    </row>
    <row r="32" spans="1:7" x14ac:dyDescent="0.25">
      <c r="A32" s="1"/>
      <c r="B32" s="122" t="s">
        <v>85</v>
      </c>
      <c r="C32" s="123"/>
      <c r="D32" s="124"/>
      <c r="E32" s="9">
        <v>2</v>
      </c>
      <c r="F32" s="14" t="s">
        <v>18</v>
      </c>
      <c r="G32" s="1"/>
    </row>
    <row r="33" spans="1:7" x14ac:dyDescent="0.25">
      <c r="A33" s="1"/>
      <c r="B33" s="125" t="s">
        <v>116</v>
      </c>
      <c r="C33" s="125"/>
      <c r="D33" s="125"/>
      <c r="E33" s="62">
        <f>E31/E32</f>
        <v>-1860791.7899999991</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OQAzFup+o4ckxTJc3jtkQiIubrktM6CZcRo6CDeSMg6BqAiupFCF3MiC7YNVg1Qd3/YukYRVuoSzu8G/KNUSA==" saltValue="n2p962j4xslnpRahTcpDGQ=="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1L+4e9+dcZRuePsB/t4H1EU68lKJv44ClCNTL6O7TdPYqan07wCvbNXxL73KYV5oJMHZGEuPaDZT0Uu+gm/1SA==" saltValue="GYDeQ5/E9xGJGXE+PWqzz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5C4n6LCP4d377wZs7ft/a5paT67qwpz3y24q/h5Whp0lcVKrdAhWBqqEdCr0Gr2ofXmEUALPEey8WuBUPL67ew==" saltValue="5Q5E01vePNLifBWntOe8F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260</v>
      </c>
      <c r="C11" s="21">
        <v>0</v>
      </c>
      <c r="D11" s="14" t="s">
        <v>3</v>
      </c>
      <c r="E11" s="9">
        <v>195578</v>
      </c>
      <c r="F11" s="14" t="s">
        <v>3</v>
      </c>
      <c r="G11" s="1"/>
    </row>
    <row r="12" spans="1:7" x14ac:dyDescent="0.25">
      <c r="A12" s="1"/>
      <c r="B12" s="27" t="s">
        <v>261</v>
      </c>
      <c r="C12" s="21">
        <v>118025</v>
      </c>
      <c r="D12" s="14" t="s">
        <v>3</v>
      </c>
      <c r="E12" s="9">
        <v>31740</v>
      </c>
      <c r="F12" s="14" t="s">
        <v>3</v>
      </c>
      <c r="G12" s="1"/>
    </row>
    <row r="13" spans="1:7" x14ac:dyDescent="0.25">
      <c r="A13" s="1"/>
      <c r="B13" s="27" t="s">
        <v>263</v>
      </c>
      <c r="C13" s="9">
        <v>73075</v>
      </c>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191100</v>
      </c>
      <c r="D17" s="13" t="s">
        <v>3</v>
      </c>
      <c r="E17" s="12">
        <f>SUM(E10:E16)</f>
        <v>227318</v>
      </c>
      <c r="F17" s="13" t="s">
        <v>3</v>
      </c>
      <c r="G17" s="1"/>
    </row>
    <row r="18" spans="1:7" x14ac:dyDescent="0.25">
      <c r="A18" s="1"/>
      <c r="B18" s="52" t="s">
        <v>209</v>
      </c>
      <c r="C18" s="12">
        <f>C17*(1+'Fane 13. Nøgletal'!C16)</f>
        <v>206540.88</v>
      </c>
      <c r="D18" s="13" t="s">
        <v>3</v>
      </c>
      <c r="E18" s="12">
        <f>E17*(1+'Fane 13. Nøgletal'!C16)</f>
        <v>245685.29439999998</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83zNHbIrlBue8uzuEIBuXWl05DaPKV9U7aS8iFukLg6t/Dt3OgvT1CebL1ePDLd65dagkEFuBmafoy4LCkCp2g==" saltValue="PVhZDNjtzXaQSqWePMRJx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262</v>
      </c>
      <c r="C11" s="21"/>
      <c r="D11" s="14" t="s">
        <v>3</v>
      </c>
      <c r="E11" s="9"/>
      <c r="F11" s="14" t="s">
        <v>3</v>
      </c>
      <c r="G11" s="1"/>
    </row>
    <row r="12" spans="1:7" x14ac:dyDescent="0.25">
      <c r="A12" s="1"/>
      <c r="B12" s="23" t="s">
        <v>263</v>
      </c>
      <c r="C12" s="21">
        <v>365375</v>
      </c>
      <c r="D12" s="14" t="s">
        <v>3</v>
      </c>
      <c r="E12" s="9"/>
      <c r="F12" s="14" t="s">
        <v>3</v>
      </c>
      <c r="G12" s="1"/>
    </row>
    <row r="13" spans="1:7" x14ac:dyDescent="0.25">
      <c r="A13" s="1"/>
      <c r="B13" s="27"/>
      <c r="C13" s="21"/>
      <c r="D13" s="14" t="s">
        <v>3</v>
      </c>
      <c r="E13" s="9"/>
      <c r="F13" s="14" t="s">
        <v>3</v>
      </c>
      <c r="G13" s="1"/>
    </row>
    <row r="14" spans="1:7" x14ac:dyDescent="0.25">
      <c r="A14" s="1"/>
      <c r="B14" s="52" t="s">
        <v>218</v>
      </c>
      <c r="C14" s="12">
        <f>SUM(C11:C13)</f>
        <v>365375</v>
      </c>
      <c r="D14" s="13" t="s">
        <v>3</v>
      </c>
      <c r="E14" s="12">
        <f>SUM(E11:E13)</f>
        <v>0</v>
      </c>
      <c r="F14" s="13" t="s">
        <v>3</v>
      </c>
      <c r="G14" s="1"/>
    </row>
    <row r="15" spans="1:7" x14ac:dyDescent="0.25">
      <c r="A15" s="1"/>
      <c r="B15" s="52" t="s">
        <v>219</v>
      </c>
      <c r="C15" s="12">
        <f>C14*(1+'Fane 13. Nøgletal'!$C$16)^2</f>
        <v>426805.00183999998</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afEKJXXEtGtqSpPvRuHyvE9yFkWMoVoj9jSS4WsOsp/9yoLIYVpqbfKgzXIhe4YsiP8901r7ImAas9ZUZobg==" saltValue="OPHfTocARU17XU4ZC5N48Q=="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4" t="s">
        <v>105</v>
      </c>
      <c r="C9" s="132" t="s">
        <v>10</v>
      </c>
      <c r="D9" s="134"/>
      <c r="E9" s="132" t="s">
        <v>27</v>
      </c>
      <c r="F9" s="134"/>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xWvCqJIrhsgDs+sAmRzK1Jqh+Acjsnso+H0F1USN6UEyTh3sACs7mxvtNvUmjKgrCGcyaG64mTVYw1kr9dIoOA==" saltValue="CVIzMUJ8sFhTqVc5FK8QB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aJSi1SrTluddOsctuxku4hv52+X4qjyDqE9NuhORiu+sHrrBk/wAZksOfItVhZDzK7dh3m1t92XQACOOlyXQtw==" saltValue="5l65k2Sxzs2Tionyfu5Nh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1"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1"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71"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HRvRvFQjoEbe0ZNWUX7Syo3STkiWKm1ZeZT2dzN+BP5f8cwJttvmpxEtQAodp+puxHmv4YNTTJcVJyqYexZOMg==" saltValue="kQeEVQJecwVueFVWgLr45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36158561.471004732</v>
      </c>
      <c r="D8" s="8" t="s">
        <v>3</v>
      </c>
      <c r="E8" s="1"/>
    </row>
    <row r="9" spans="1:5" ht="17.100000000000001" customHeight="1" x14ac:dyDescent="0.25">
      <c r="A9" s="1"/>
      <c r="B9" s="24" t="s">
        <v>33</v>
      </c>
      <c r="C9" s="7">
        <f>'Fane 10.1. Varige tillæg'!C18</f>
        <v>206540.88</v>
      </c>
      <c r="D9" s="8" t="s">
        <v>3</v>
      </c>
      <c r="E9" s="1"/>
    </row>
    <row r="10" spans="1:5" ht="17.100000000000001" customHeight="1" x14ac:dyDescent="0.25">
      <c r="A10" s="1"/>
      <c r="B10" s="24" t="s">
        <v>34</v>
      </c>
      <c r="C10" s="9">
        <f>'Fane 10.1. Varige tillæg'!E18</f>
        <v>245685.29439999998</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1323784.6632592885</v>
      </c>
      <c r="D15" s="8" t="s">
        <v>3</v>
      </c>
      <c r="E15" s="1"/>
    </row>
    <row r="16" spans="1:5" ht="17.100000000000001" customHeight="1" x14ac:dyDescent="0.25">
      <c r="A16" s="1"/>
      <c r="B16" s="24" t="s">
        <v>9</v>
      </c>
      <c r="C16" s="9">
        <f>-SUM(C8,C9:C15)*'Fane 5. Individuelt eff. krav'!G9</f>
        <v>-404651.339437077</v>
      </c>
      <c r="D16" s="8" t="s">
        <v>3</v>
      </c>
      <c r="E16" s="1"/>
    </row>
    <row r="17" spans="1:5" ht="17.100000000000001" customHeight="1" x14ac:dyDescent="0.25">
      <c r="A17" s="1"/>
      <c r="B17" s="24" t="s">
        <v>22</v>
      </c>
      <c r="C17" s="9">
        <f>-'Fane 4.1. Gen. krav - drift'!G49</f>
        <v>-423772.70859163668</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37106148.260635309</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32965698.389396906</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426805.00183999998</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-13088.865631933777</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49">
        <f>SUM(C23:C26)</f>
        <v>413716.13620806619</v>
      </c>
      <c r="D27" s="11" t="s">
        <v>3</v>
      </c>
      <c r="E27" s="1"/>
    </row>
    <row r="28" spans="1:5" ht="15" customHeight="1" x14ac:dyDescent="0.25">
      <c r="A28" s="1"/>
      <c r="B28" s="26" t="s">
        <v>117</v>
      </c>
      <c r="C28" s="53"/>
      <c r="D28" s="19"/>
      <c r="E28" s="1"/>
    </row>
    <row r="29" spans="1:5" x14ac:dyDescent="0.25">
      <c r="A29" s="1"/>
      <c r="B29" s="72" t="s">
        <v>118</v>
      </c>
      <c r="C29" s="10">
        <f>'Fane 7. Kontrol af ØR2022'!E15</f>
        <v>0</v>
      </c>
      <c r="D29" s="11" t="s">
        <v>3</v>
      </c>
      <c r="E29" s="1"/>
    </row>
    <row r="30" spans="1:5" x14ac:dyDescent="0.25">
      <c r="A30" s="1"/>
      <c r="B30" s="26" t="s">
        <v>138</v>
      </c>
      <c r="C30" s="53"/>
      <c r="D30" s="19"/>
      <c r="E30" s="1"/>
    </row>
    <row r="31" spans="1:5" x14ac:dyDescent="0.25">
      <c r="A31" s="1"/>
      <c r="B31" s="72" t="s">
        <v>139</v>
      </c>
      <c r="C31" s="10">
        <f>'Fane 8. Skattesagen'!G13</f>
        <v>0</v>
      </c>
      <c r="D31" s="11" t="s">
        <v>3</v>
      </c>
      <c r="E31" s="1"/>
    </row>
    <row r="32" spans="1:5" x14ac:dyDescent="0.25">
      <c r="A32" s="1"/>
      <c r="B32" s="52" t="s">
        <v>126</v>
      </c>
      <c r="C32" s="33">
        <f>SUM(C19,C21,C27,C29,C31)</f>
        <v>70485562.786240295</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26bJ25C4hluLuAbr7aqMlGVMHpvIHhcnkzOKwH4qReyJVf1MGNe3rmCUsYNL5ENsJ0RMJiM4IAYTsEIOttAgMQ==" saltValue="aQkPPCsFv46fiW0BBxcah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37106148.260635309</v>
      </c>
      <c r="D8" s="8" t="s">
        <v>3</v>
      </c>
      <c r="E8" s="1"/>
    </row>
    <row r="9" spans="1:5" ht="15" customHeight="1" x14ac:dyDescent="0.25">
      <c r="A9" s="1"/>
      <c r="B9" s="29" t="s">
        <v>17</v>
      </c>
      <c r="C9" s="9">
        <f>SUM(C8:C8)*'Fane 13. Nøgletal'!C16</f>
        <v>2998176.779459333</v>
      </c>
      <c r="D9" s="8" t="s">
        <v>3</v>
      </c>
      <c r="E9" s="1"/>
    </row>
    <row r="10" spans="1:5" ht="15" customHeight="1" x14ac:dyDescent="0.25">
      <c r="A10" s="1"/>
      <c r="B10" s="29" t="s">
        <v>9</v>
      </c>
      <c r="C10" s="9">
        <f>-SUM(C8:C9)*'Fane 5. Individuelt eff. krav'!G9</f>
        <v>-427796.27809294598</v>
      </c>
      <c r="D10" s="8" t="s">
        <v>3</v>
      </c>
      <c r="E10" s="1"/>
    </row>
    <row r="11" spans="1:5" ht="15" customHeight="1" x14ac:dyDescent="0.25">
      <c r="A11" s="1"/>
      <c r="B11" s="29" t="s">
        <v>22</v>
      </c>
      <c r="C11" s="9">
        <f>-'Fane 4.1. Gen. krav - drift'!G54</f>
        <v>-448853.27257692406</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39227675.48942478</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35629326.819260173</v>
      </c>
      <c r="D15" s="11" t="s">
        <v>3</v>
      </c>
      <c r="E15" s="1"/>
    </row>
    <row r="16" spans="1:5" x14ac:dyDescent="0.25">
      <c r="A16" s="1"/>
      <c r="B16" s="26" t="s">
        <v>117</v>
      </c>
      <c r="C16" s="53"/>
      <c r="D16" s="19"/>
      <c r="E16" s="1"/>
    </row>
    <row r="17" spans="1:5" ht="15" customHeight="1" x14ac:dyDescent="0.25">
      <c r="A17" s="1"/>
      <c r="B17" s="72" t="s">
        <v>118</v>
      </c>
      <c r="C17" s="10">
        <f>'Fane 7. Kontrol af ØR2022'!E33</f>
        <v>-1860791.7899999991</v>
      </c>
      <c r="D17" s="11" t="s">
        <v>3</v>
      </c>
      <c r="E17" s="1"/>
    </row>
    <row r="18" spans="1:5" x14ac:dyDescent="0.25">
      <c r="A18" s="1"/>
      <c r="B18" s="26" t="s">
        <v>138</v>
      </c>
      <c r="C18" s="53"/>
      <c r="D18" s="19"/>
      <c r="E18" s="1"/>
    </row>
    <row r="19" spans="1:5" x14ac:dyDescent="0.25">
      <c r="A19" s="1"/>
      <c r="B19" s="72" t="s">
        <v>139</v>
      </c>
      <c r="C19" s="10">
        <f>'Fane 8. Skattesagen'!G13</f>
        <v>0</v>
      </c>
      <c r="D19" s="11" t="s">
        <v>3</v>
      </c>
      <c r="E19" s="1"/>
    </row>
    <row r="20" spans="1:5" x14ac:dyDescent="0.25">
      <c r="A20" s="1"/>
      <c r="B20" s="52" t="s">
        <v>128</v>
      </c>
      <c r="C20" s="12">
        <f>SUM(C13,C15,C17,C19)</f>
        <v>72996210.518684953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OOxw+MFIcEWS8CfahP2VI7ybU8T3rPkNXyV5vOcKv0slRRtiDgWsnpsh/fTEYmscT+FbF/eKhTHM96c++oDLg==" saltValue="Mrw56bLOZoVZVCclfFVj1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39227675.48942478</v>
      </c>
      <c r="D8" s="8" t="s">
        <v>3</v>
      </c>
      <c r="E8" s="1"/>
    </row>
    <row r="9" spans="1:5" ht="15" customHeight="1" x14ac:dyDescent="0.25">
      <c r="A9" s="1"/>
      <c r="B9" s="29" t="s">
        <v>17</v>
      </c>
      <c r="C9" s="9">
        <f>SUM(C8:C8)*'Fane 13. Nøgletal'!C16</f>
        <v>3169596.1795455222</v>
      </c>
      <c r="D9" s="8" t="s">
        <v>3</v>
      </c>
      <c r="E9" s="1"/>
    </row>
    <row r="10" spans="1:5" ht="15" customHeight="1" x14ac:dyDescent="0.25">
      <c r="A10" s="1"/>
      <c r="B10" s="29" t="s">
        <v>9</v>
      </c>
      <c r="C10" s="9">
        <f>-SUM(C8:C9)*'Fane 5. Individuelt eff. krav'!G9</f>
        <v>-452255.33662885445</v>
      </c>
      <c r="D10" s="8" t="s">
        <v>3</v>
      </c>
      <c r="E10" s="1"/>
    </row>
    <row r="11" spans="1:5" ht="15" customHeight="1" x14ac:dyDescent="0.25">
      <c r="A11" s="1"/>
      <c r="B11" s="29" t="s">
        <v>22</v>
      </c>
      <c r="C11" s="9">
        <f>-'Fane 4.1. Gen. krav - drift'!G59</f>
        <v>-475418.2046611167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41469598.127680331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38508176.426256396</v>
      </c>
      <c r="D15" s="11" t="s">
        <v>3</v>
      </c>
      <c r="E15" s="1"/>
    </row>
    <row r="16" spans="1:5" x14ac:dyDescent="0.25">
      <c r="A16" s="1"/>
      <c r="B16" s="52" t="s">
        <v>117</v>
      </c>
      <c r="C16" s="53"/>
      <c r="D16" s="19"/>
      <c r="E16" s="1"/>
    </row>
    <row r="17" spans="1:5" x14ac:dyDescent="0.25">
      <c r="A17" s="1"/>
      <c r="B17" s="54" t="s">
        <v>118</v>
      </c>
      <c r="C17" s="10">
        <f>'Fane 7. Kontrol af ØR2022'!E33</f>
        <v>-1860791.7899999991</v>
      </c>
      <c r="D17" s="11" t="s">
        <v>3</v>
      </c>
      <c r="E17" s="1"/>
    </row>
    <row r="18" spans="1:5" ht="15" customHeight="1" x14ac:dyDescent="0.25">
      <c r="A18" s="1"/>
      <c r="B18" s="26" t="s">
        <v>138</v>
      </c>
      <c r="C18" s="53"/>
      <c r="D18" s="19"/>
      <c r="E18" s="1"/>
    </row>
    <row r="19" spans="1:5" ht="15" customHeight="1" x14ac:dyDescent="0.25">
      <c r="A19" s="1"/>
      <c r="B19" s="72" t="s">
        <v>139</v>
      </c>
      <c r="C19" s="10">
        <f>'Fane 8. Skattesagen'!G14</f>
        <v>0</v>
      </c>
      <c r="D19" s="11" t="s">
        <v>3</v>
      </c>
      <c r="E19" s="1"/>
    </row>
    <row r="20" spans="1:5" x14ac:dyDescent="0.25">
      <c r="A20" s="1"/>
      <c r="B20" s="52" t="s">
        <v>143</v>
      </c>
      <c r="C20" s="12">
        <f>SUM(C13,C15,C17,C19)</f>
        <v>78116982.763936728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X/05gORh48LJ7jAdQpzK8eZDufO9aVgdEcfZWh7C9T0loPhmBmjfmAm7C8eenQ/J220zmN/MhJ0DgWn0/Yy30g==" saltValue="6700Cxd/d7Y0BwqIOElsq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41469598.127680331</v>
      </c>
      <c r="D8" s="8" t="s">
        <v>3</v>
      </c>
      <c r="E8" s="1"/>
    </row>
    <row r="9" spans="1:5" ht="15" customHeight="1" x14ac:dyDescent="0.25">
      <c r="A9" s="1"/>
      <c r="B9" s="29" t="s">
        <v>17</v>
      </c>
      <c r="C9" s="9">
        <f>SUM(C8:C8)*'Fane 13. Nøgletal'!C16</f>
        <v>3350743.5287165707</v>
      </c>
      <c r="D9" s="8" t="s">
        <v>3</v>
      </c>
      <c r="E9" s="1"/>
    </row>
    <row r="10" spans="1:5" ht="15" customHeight="1" x14ac:dyDescent="0.25">
      <c r="A10" s="1"/>
      <c r="B10" s="29" t="s">
        <v>9</v>
      </c>
      <c r="C10" s="9">
        <f>-SUM(C8:C9)*'Fane 5. Individuelt eff. krav'!G9</f>
        <v>-478102.43220130185</v>
      </c>
      <c r="D10" s="8" t="s">
        <v>3</v>
      </c>
      <c r="E10" s="1"/>
    </row>
    <row r="11" spans="1:5" ht="15" customHeight="1" x14ac:dyDescent="0.25">
      <c r="A11" s="1"/>
      <c r="B11" s="29" t="s">
        <v>22</v>
      </c>
      <c r="C11" s="9">
        <f>-'Fane 4.1. Gen. krav - drift'!G64</f>
        <v>-503555.35568578023</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43838683.868509822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41619637.081497915</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72" t="s">
        <v>139</v>
      </c>
      <c r="C19" s="10">
        <f>'Fane 8. Skattesagen'!G15</f>
        <v>0</v>
      </c>
      <c r="D19" s="11" t="s">
        <v>3</v>
      </c>
      <c r="E19" s="1"/>
    </row>
    <row r="20" spans="1:5" x14ac:dyDescent="0.25">
      <c r="A20" s="1"/>
      <c r="B20" s="52" t="s">
        <v>205</v>
      </c>
      <c r="C20" s="12">
        <f>SUM(C13,C15,C17,C19)</f>
        <v>85458320.950007737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9AkTq5W6iwPMhOB66+sTPZx+3pE204VkbR3VgLzkfnmQW30ocsPZcQ9vIpQCMjH8VKj+wFyKSa5fYXPReggsQ==" saltValue="UV8+RrNjIEaJLdStO6/pC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35646041.374357127</v>
      </c>
      <c r="D8" s="8" t="s">
        <v>3</v>
      </c>
      <c r="E8" s="1"/>
    </row>
    <row r="9" spans="1:5" x14ac:dyDescent="0.25">
      <c r="A9" s="1"/>
      <c r="B9" s="24" t="s">
        <v>33</v>
      </c>
      <c r="C9" s="7">
        <v>7559.88</v>
      </c>
      <c r="D9" s="8" t="s">
        <v>3</v>
      </c>
      <c r="E9" s="1"/>
    </row>
    <row r="10" spans="1:5" x14ac:dyDescent="0.25">
      <c r="A10" s="1"/>
      <c r="B10" s="24" t="s">
        <v>34</v>
      </c>
      <c r="C10" s="9">
        <v>41684.9712</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1270752.1896298337</v>
      </c>
      <c r="D15" s="8" t="s">
        <v>3</v>
      </c>
      <c r="E15" s="1"/>
    </row>
    <row r="16" spans="1:5" x14ac:dyDescent="0.25">
      <c r="A16" s="1"/>
      <c r="B16" s="24" t="s">
        <v>9</v>
      </c>
      <c r="C16" s="9">
        <v>-394319.90524831746</v>
      </c>
      <c r="D16" s="8" t="s">
        <v>3</v>
      </c>
      <c r="E16" s="1"/>
    </row>
    <row r="17" spans="1:5" x14ac:dyDescent="0.25">
      <c r="A17" s="1"/>
      <c r="B17" s="24" t="s">
        <v>22</v>
      </c>
      <c r="C17" s="9">
        <v>-413157.03893390857</v>
      </c>
      <c r="D17" s="8" t="s">
        <v>3</v>
      </c>
      <c r="E17" s="1"/>
    </row>
    <row r="18" spans="1:5" x14ac:dyDescent="0.25">
      <c r="A18" s="1"/>
      <c r="B18" s="24" t="s">
        <v>23</v>
      </c>
      <c r="C18" s="9">
        <v>0</v>
      </c>
      <c r="D18" s="8" t="s">
        <v>3</v>
      </c>
      <c r="E18" s="1"/>
    </row>
    <row r="19" spans="1:5" x14ac:dyDescent="0.25">
      <c r="A19" s="1"/>
      <c r="B19" s="73" t="s">
        <v>19</v>
      </c>
      <c r="C19" s="10">
        <v>36158561.471004732</v>
      </c>
      <c r="D19" s="11" t="s">
        <v>3</v>
      </c>
      <c r="E19" s="1"/>
    </row>
    <row r="20" spans="1:5" x14ac:dyDescent="0.25">
      <c r="A20" s="1"/>
      <c r="B20" s="52" t="s">
        <v>11</v>
      </c>
      <c r="C20" s="53"/>
      <c r="D20" s="19"/>
      <c r="E20" s="1"/>
    </row>
    <row r="21" spans="1:5" x14ac:dyDescent="0.25">
      <c r="A21" s="1"/>
      <c r="B21" s="54" t="s">
        <v>11</v>
      </c>
      <c r="C21" s="10">
        <v>29425216.173474241</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7">
        <v>0</v>
      </c>
      <c r="D27" s="11" t="s">
        <v>3</v>
      </c>
      <c r="E27" s="1"/>
    </row>
    <row r="28" spans="1:5" x14ac:dyDescent="0.25">
      <c r="A28" s="1"/>
      <c r="B28" s="26" t="s">
        <v>117</v>
      </c>
      <c r="C28" s="53"/>
      <c r="D28" s="19"/>
      <c r="E28" s="1"/>
    </row>
    <row r="29" spans="1:5" x14ac:dyDescent="0.25">
      <c r="A29" s="1"/>
      <c r="B29" s="72" t="s">
        <v>118</v>
      </c>
      <c r="C29" s="10">
        <v>0</v>
      </c>
      <c r="D29" s="11" t="s">
        <v>3</v>
      </c>
      <c r="E29" s="1"/>
    </row>
    <row r="30" spans="1:5" x14ac:dyDescent="0.25">
      <c r="A30" s="1"/>
      <c r="B30" s="26" t="s">
        <v>138</v>
      </c>
      <c r="C30" s="53"/>
      <c r="D30" s="19"/>
      <c r="E30" s="1"/>
    </row>
    <row r="31" spans="1:5" x14ac:dyDescent="0.25">
      <c r="A31" s="1"/>
      <c r="B31" s="72" t="s">
        <v>139</v>
      </c>
      <c r="C31" s="10">
        <v>0</v>
      </c>
      <c r="D31" s="11" t="s">
        <v>3</v>
      </c>
      <c r="E31" s="1"/>
    </row>
    <row r="32" spans="1:5" x14ac:dyDescent="0.25">
      <c r="A32" s="1"/>
      <c r="B32" s="52" t="s">
        <v>239</v>
      </c>
      <c r="C32" s="33">
        <v>65583777.644478977</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hifr8MBLtUdfUmVmjLmQvs9hK1GgL4jufwgKfWZgl3DP0eO+UIkEoBv4lIgYituEMk93Qj6gWRKW9xmndK1++w==" saltValue="bwuYrqAIvsAEqgZVlGX/T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19259981.03032881</v>
      </c>
      <c r="H5" s="14" t="s">
        <v>3</v>
      </c>
      <c r="I5" s="1"/>
    </row>
    <row r="6" spans="1:9" x14ac:dyDescent="0.25">
      <c r="A6" s="1"/>
      <c r="B6" s="101" t="s">
        <v>37</v>
      </c>
      <c r="C6" s="102"/>
      <c r="D6" s="102"/>
      <c r="E6" s="102"/>
      <c r="F6" s="103"/>
      <c r="G6" s="22">
        <f>G5*'Fane 13. Nøgletal'!C33</f>
        <v>385199.62060657621</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19114491.133625705</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382289.82267251413</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19048775.513108298</v>
      </c>
      <c r="H16" s="14" t="s">
        <v>3</v>
      </c>
      <c r="I16" s="1"/>
    </row>
    <row r="17" spans="1:9" x14ac:dyDescent="0.25">
      <c r="A17" s="1"/>
      <c r="B17" s="101" t="s">
        <v>100</v>
      </c>
      <c r="C17" s="102"/>
      <c r="D17" s="102"/>
      <c r="E17" s="102"/>
      <c r="F17" s="103"/>
      <c r="G17" s="47">
        <v>-130404.88336968388</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378367.41259477229</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18853329.27151357</v>
      </c>
      <c r="H23" s="14" t="s">
        <v>3</v>
      </c>
      <c r="I23" s="1"/>
    </row>
    <row r="24" spans="1:9" x14ac:dyDescent="0.25">
      <c r="A24" s="1"/>
      <c r="B24" s="104" t="s">
        <v>230</v>
      </c>
      <c r="C24" s="105"/>
      <c r="D24" s="105"/>
      <c r="E24" s="105"/>
      <c r="F24" s="106"/>
      <c r="G24" s="47">
        <v>682443.07732161006</v>
      </c>
      <c r="H24" s="14" t="s">
        <v>3</v>
      </c>
      <c r="I24" s="1"/>
    </row>
    <row r="25" spans="1:9" x14ac:dyDescent="0.25">
      <c r="A25" s="1"/>
      <c r="B25" s="101" t="s">
        <v>43</v>
      </c>
      <c r="C25" s="102"/>
      <c r="D25" s="102"/>
      <c r="E25" s="102"/>
      <c r="F25" s="103"/>
      <c r="G25" s="22">
        <f>(G23+G24)*'Fane 13. Nøgletal'!C33</f>
        <v>390715.44697670365</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19378626.596061151</v>
      </c>
      <c r="H29" s="14" t="s">
        <v>3</v>
      </c>
      <c r="I29" s="1"/>
    </row>
    <row r="30" spans="1:9" x14ac:dyDescent="0.25">
      <c r="A30" s="1"/>
      <c r="B30" s="101" t="s">
        <v>231</v>
      </c>
      <c r="C30" s="102"/>
      <c r="D30" s="102"/>
      <c r="E30" s="102"/>
      <c r="F30" s="103"/>
      <c r="G30" s="47">
        <v>734133.29946011992</v>
      </c>
      <c r="H30" s="14" t="s">
        <v>3</v>
      </c>
      <c r="I30" s="1"/>
    </row>
    <row r="31" spans="1:9" x14ac:dyDescent="0.25">
      <c r="A31" s="1"/>
      <c r="B31" s="101" t="s">
        <v>115</v>
      </c>
      <c r="C31" s="102"/>
      <c r="D31" s="102"/>
      <c r="E31" s="102"/>
      <c r="F31" s="103"/>
      <c r="G31" s="22">
        <f>(G29+G30)*'Fane 13. Nøgletal'!C33</f>
        <v>402255.19791042543</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19950972.854921699</v>
      </c>
      <c r="H35" s="14" t="s">
        <v>3</v>
      </c>
      <c r="I35" s="1"/>
    </row>
    <row r="36" spans="1:9" x14ac:dyDescent="0.25">
      <c r="A36" s="1"/>
      <c r="B36" s="101" t="s">
        <v>232</v>
      </c>
      <c r="C36" s="102"/>
      <c r="D36" s="102"/>
      <c r="E36" s="102"/>
      <c r="F36" s="103"/>
      <c r="G36" s="47">
        <v>396122.52404369006</v>
      </c>
      <c r="H36" s="14" t="s">
        <v>3</v>
      </c>
      <c r="I36" s="1"/>
    </row>
    <row r="37" spans="1:9" x14ac:dyDescent="0.25">
      <c r="A37" s="1"/>
      <c r="B37" s="101" t="s">
        <v>123</v>
      </c>
      <c r="C37" s="102"/>
      <c r="D37" s="102"/>
      <c r="E37" s="102"/>
      <c r="F37" s="103"/>
      <c r="G37" s="22">
        <f>(G35+G36)*'Fane 13. Nøgletal'!C33</f>
        <v>406941.90757930779</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20650022.934967428</v>
      </c>
      <c r="H41" s="14" t="s">
        <v>3</v>
      </c>
      <c r="I41" s="1"/>
    </row>
    <row r="42" spans="1:9" x14ac:dyDescent="0.25">
      <c r="A42" s="1"/>
      <c r="B42" s="101" t="s">
        <v>156</v>
      </c>
      <c r="C42" s="102"/>
      <c r="D42" s="102"/>
      <c r="E42" s="102"/>
      <c r="F42" s="103"/>
      <c r="G42" s="22">
        <v>7829.0117280000004</v>
      </c>
      <c r="H42" s="14" t="s">
        <v>3</v>
      </c>
      <c r="I42" s="1"/>
    </row>
    <row r="43" spans="1:9" x14ac:dyDescent="0.25">
      <c r="A43" s="1"/>
      <c r="B43" s="101" t="s">
        <v>166</v>
      </c>
      <c r="C43" s="102"/>
      <c r="D43" s="102"/>
      <c r="E43" s="102"/>
      <c r="F43" s="103"/>
      <c r="G43" s="22">
        <f>(G41+G42)*'Fane 13. Nøgletal'!C33</f>
        <v>413157.03893390857</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20965406.046477832</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223229.38310400001</v>
      </c>
      <c r="H48" s="14" t="s">
        <v>3</v>
      </c>
      <c r="I48" s="1"/>
    </row>
    <row r="49" spans="1:9" x14ac:dyDescent="0.25">
      <c r="A49" s="1"/>
      <c r="B49" s="101" t="s">
        <v>167</v>
      </c>
      <c r="C49" s="102"/>
      <c r="D49" s="102"/>
      <c r="E49" s="102"/>
      <c r="F49" s="103"/>
      <c r="G49" s="22">
        <f>G47*'Fane 13. Nøgletal'!C33+G48*'Fane 13. Nøgletal'!C33</f>
        <v>423772.70859163668</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22442663.628846202</v>
      </c>
      <c r="H53" s="14" t="s">
        <v>3</v>
      </c>
      <c r="I53" s="1"/>
    </row>
    <row r="54" spans="1:9" x14ac:dyDescent="0.25">
      <c r="A54" s="1"/>
      <c r="B54" s="101" t="s">
        <v>135</v>
      </c>
      <c r="C54" s="102"/>
      <c r="D54" s="102"/>
      <c r="E54" s="102"/>
      <c r="F54" s="103"/>
      <c r="G54" s="22">
        <f>(G53)*'Fane 13. Nøgletal'!C33</f>
        <v>448853.27257692406</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23770910.233055834</v>
      </c>
      <c r="H58" s="14" t="s">
        <v>3</v>
      </c>
      <c r="I58" s="1"/>
    </row>
    <row r="59" spans="1:9" x14ac:dyDescent="0.25">
      <c r="A59" s="1"/>
      <c r="B59" s="101" t="s">
        <v>146</v>
      </c>
      <c r="C59" s="102"/>
      <c r="D59" s="102"/>
      <c r="E59" s="102"/>
      <c r="F59" s="103"/>
      <c r="G59" s="22">
        <f>(G58)*'Fane 13. Nøgletal'!C33</f>
        <v>475418.2046611167</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25177767.78428901</v>
      </c>
      <c r="H63" s="14" t="s">
        <v>3</v>
      </c>
      <c r="I63" s="1"/>
    </row>
    <row r="64" spans="1:9" x14ac:dyDescent="0.25">
      <c r="A64" s="1"/>
      <c r="B64" s="101" t="s">
        <v>222</v>
      </c>
      <c r="C64" s="102"/>
      <c r="D64" s="102"/>
      <c r="E64" s="102"/>
      <c r="F64" s="103"/>
      <c r="G64" s="22">
        <f>(G63)*'Fane 13. Nøgletal'!C33</f>
        <v>503555.35568578023</v>
      </c>
      <c r="H64" s="14" t="s">
        <v>3</v>
      </c>
      <c r="I64" s="1"/>
    </row>
    <row r="65" spans="1:9" x14ac:dyDescent="0.25">
      <c r="A65" s="1"/>
      <c r="B65" s="52"/>
      <c r="C65" s="53"/>
      <c r="D65" s="53"/>
      <c r="E65" s="53"/>
      <c r="F65" s="53"/>
      <c r="G65" s="50"/>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mqHaLPnezH8G86naBYgKdP4UbH4k0+AONZOJ4QIQTzF+qK9ZoA333hwdARmmHsfId5MBXdB+3NdwcvUxX91Htg==" saltValue="XftRXzFcNHXKFoCdXFTs2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18267336.503424563</v>
      </c>
      <c r="H5" s="14" t="s">
        <v>3</v>
      </c>
      <c r="I5" s="1"/>
    </row>
    <row r="6" spans="1:9" x14ac:dyDescent="0.25">
      <c r="A6" s="1"/>
      <c r="B6" s="101" t="s">
        <v>49</v>
      </c>
      <c r="C6" s="102"/>
      <c r="D6" s="102"/>
      <c r="E6" s="102"/>
      <c r="F6" s="103"/>
      <c r="G6" s="22">
        <f>G5*'Fane 13. Nøgletal'!C21</f>
        <v>166232.76218116353</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18330987.758757189</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166811.98860469041</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18471150.340668075</v>
      </c>
      <c r="H16" s="14" t="s">
        <v>3</v>
      </c>
      <c r="I16" s="1"/>
    </row>
    <row r="17" spans="1:9" x14ac:dyDescent="0.25">
      <c r="A17" s="1"/>
      <c r="B17" s="101" t="s">
        <v>101</v>
      </c>
      <c r="C17" s="102"/>
      <c r="D17" s="102"/>
      <c r="E17" s="102"/>
      <c r="F17" s="103"/>
      <c r="G17" s="47">
        <v>-126448.41888897445</v>
      </c>
      <c r="H17" s="14" t="s">
        <v>3</v>
      </c>
      <c r="I17" s="1"/>
    </row>
    <row r="18" spans="1:9" x14ac:dyDescent="0.25">
      <c r="A18" s="1"/>
      <c r="B18" s="104" t="s">
        <v>58</v>
      </c>
      <c r="C18" s="105"/>
      <c r="D18" s="105"/>
      <c r="E18" s="105"/>
      <c r="F18" s="106"/>
      <c r="G18" s="56">
        <v>0</v>
      </c>
      <c r="H18" s="14" t="s">
        <v>3</v>
      </c>
      <c r="I18" s="1"/>
    </row>
    <row r="19" spans="1:9" x14ac:dyDescent="0.25">
      <c r="A19" s="1"/>
      <c r="B19" s="101" t="s">
        <v>59</v>
      </c>
      <c r="C19" s="102"/>
      <c r="D19" s="102"/>
      <c r="E19" s="102"/>
      <c r="F19" s="103"/>
      <c r="G19" s="22">
        <f>(G16+G17+G18)*'Fane 13. Nøgletal'!C23</f>
        <v>159598.90671947817</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18492431.256014127</v>
      </c>
      <c r="H23" s="14" t="s">
        <v>3</v>
      </c>
      <c r="I23" s="1"/>
    </row>
    <row r="24" spans="1:9" x14ac:dyDescent="0.25">
      <c r="A24" s="1"/>
      <c r="B24" s="104" t="s">
        <v>62</v>
      </c>
      <c r="C24" s="105"/>
      <c r="D24" s="105"/>
      <c r="E24" s="105"/>
      <c r="F24" s="106"/>
      <c r="G24" s="47">
        <v>456380.73633815988</v>
      </c>
      <c r="H24" s="14" t="s">
        <v>3</v>
      </c>
      <c r="I24" s="1"/>
    </row>
    <row r="25" spans="1:9" x14ac:dyDescent="0.25">
      <c r="A25" s="1"/>
      <c r="B25" s="101" t="s">
        <v>63</v>
      </c>
      <c r="C25" s="102"/>
      <c r="D25" s="102"/>
      <c r="E25" s="102"/>
      <c r="F25" s="103"/>
      <c r="G25" s="22">
        <f>G23*'Fane 13. Nøgletal'!C23+G24*'Fane 13. Nøgletal'!C24</f>
        <v>173845.36483932665</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19004021.22036862</v>
      </c>
      <c r="H29" s="14" t="s">
        <v>3</v>
      </c>
      <c r="I29" s="1"/>
    </row>
    <row r="30" spans="1:9" x14ac:dyDescent="0.25">
      <c r="A30" s="1"/>
      <c r="B30" s="101" t="s">
        <v>113</v>
      </c>
      <c r="C30" s="102"/>
      <c r="D30" s="102"/>
      <c r="E30" s="102"/>
      <c r="F30" s="103"/>
      <c r="G30" s="47">
        <v>171520.74585323999</v>
      </c>
      <c r="H30" s="14" t="s">
        <v>3</v>
      </c>
      <c r="I30" s="1"/>
    </row>
    <row r="31" spans="1:9" x14ac:dyDescent="0.25">
      <c r="A31" s="1"/>
      <c r="B31" s="101" t="s">
        <v>120</v>
      </c>
      <c r="C31" s="102"/>
      <c r="D31" s="102"/>
      <c r="E31" s="102"/>
      <c r="F31" s="103"/>
      <c r="G31" s="22">
        <f>(G29+G30)*'Fane 13. Nøgletal'!C25</f>
        <v>527327.40407110122</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18875722.779809002</v>
      </c>
      <c r="H35" s="14" t="s">
        <v>3</v>
      </c>
      <c r="I35" s="1"/>
    </row>
    <row r="36" spans="1:9" x14ac:dyDescent="0.25">
      <c r="A36" s="1"/>
      <c r="B36" s="101" t="s">
        <v>129</v>
      </c>
      <c r="C36" s="102"/>
      <c r="D36" s="102"/>
      <c r="E36" s="102"/>
      <c r="F36" s="103"/>
      <c r="G36" s="22">
        <v>149552.17992730002</v>
      </c>
      <c r="H36" s="14" t="s">
        <v>3</v>
      </c>
      <c r="I36" s="1"/>
    </row>
    <row r="37" spans="1:9" x14ac:dyDescent="0.25">
      <c r="A37" s="1"/>
      <c r="B37" s="101" t="s">
        <v>125</v>
      </c>
      <c r="C37" s="102"/>
      <c r="D37" s="102"/>
      <c r="E37" s="102"/>
      <c r="F37" s="103"/>
      <c r="G37" s="22">
        <f>G35*'Fane 13. Nøgletal'!C25+G36*'Fane 13. Nøgletal'!C26</f>
        <v>521295.74870767159</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19162720.870941252</v>
      </c>
      <c r="H41" s="14" t="s">
        <v>3</v>
      </c>
      <c r="I41" s="1"/>
    </row>
    <row r="42" spans="1:9" x14ac:dyDescent="0.25">
      <c r="A42" s="1"/>
      <c r="B42" s="101" t="s">
        <v>169</v>
      </c>
      <c r="C42" s="102"/>
      <c r="D42" s="102"/>
      <c r="E42" s="102"/>
      <c r="F42" s="103"/>
      <c r="G42" s="9">
        <v>43168.956174720006</v>
      </c>
      <c r="H42" s="14" t="s">
        <v>3</v>
      </c>
      <c r="I42" s="1"/>
    </row>
    <row r="43" spans="1:9" x14ac:dyDescent="0.25">
      <c r="A43" s="1"/>
      <c r="B43" s="101" t="s">
        <v>65</v>
      </c>
      <c r="C43" s="102"/>
      <c r="D43" s="102"/>
      <c r="E43" s="102"/>
      <c r="F43" s="103"/>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19889619.504961301</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265536.66618751996</v>
      </c>
      <c r="H48" s="14" t="s">
        <v>3</v>
      </c>
      <c r="I48" s="1"/>
    </row>
    <row r="49" spans="1:9" x14ac:dyDescent="0.25">
      <c r="A49" s="1"/>
      <c r="B49" s="101" t="s">
        <v>211</v>
      </c>
      <c r="C49" s="102"/>
      <c r="D49" s="102"/>
      <c r="E49" s="102"/>
      <c r="F49" s="103"/>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21783692.789777648</v>
      </c>
      <c r="H53" s="14" t="s">
        <v>3</v>
      </c>
      <c r="I53" s="1"/>
    </row>
    <row r="54" spans="1:9" x14ac:dyDescent="0.25">
      <c r="A54" s="1"/>
      <c r="B54" s="101" t="s">
        <v>132</v>
      </c>
      <c r="C54" s="102"/>
      <c r="D54" s="102"/>
      <c r="E54" s="102"/>
      <c r="F54" s="103"/>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23543815.167191681</v>
      </c>
      <c r="H58" s="14" t="s">
        <v>3</v>
      </c>
      <c r="I58" s="1"/>
    </row>
    <row r="59" spans="1:9" x14ac:dyDescent="0.25">
      <c r="A59" s="1"/>
      <c r="B59" s="101" t="s">
        <v>149</v>
      </c>
      <c r="C59" s="102"/>
      <c r="D59" s="102"/>
      <c r="E59" s="102"/>
      <c r="F59" s="103"/>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25446155.432700768</v>
      </c>
      <c r="H63" s="14" t="s">
        <v>3</v>
      </c>
      <c r="I63" s="1"/>
    </row>
    <row r="64" spans="1:9" x14ac:dyDescent="0.25">
      <c r="A64" s="1"/>
      <c r="B64" s="101" t="s">
        <v>225</v>
      </c>
      <c r="C64" s="102"/>
      <c r="D64" s="102"/>
      <c r="E64" s="102"/>
      <c r="F64" s="103"/>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buLVcx4X1RUQ6+pvGj5rN3zmp1wscVjxJ1o2qAIZA1nOixW/Bo5tZEkznmp5c0NsCCx9/47BRsf0dQaqGCka/A==" saltValue="NCYYgYpkpu8SbGZqr6poOQ=="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140">
        <v>1.0667085848353089E-2</v>
      </c>
      <c r="H9" s="1"/>
    </row>
    <row r="10" spans="1:8" x14ac:dyDescent="0.25">
      <c r="A10" s="1"/>
      <c r="B10" s="52"/>
      <c r="C10" s="53"/>
      <c r="D10" s="53"/>
      <c r="E10" s="53"/>
      <c r="F10" s="53"/>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1mFAk149bH3KWXrql4Ho0mkuOwGPU2aaqqq/83W6R6kqle/5B9x8sA04UZT5QebQK1yMIte8aASgruXh8R4JTA==" saltValue="xani3hICiowcFbdgOKxsvg=="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2023-08-30T09:50:36Z</dcterms:modified>
</cp:coreProperties>
</file>