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ovafos Vand Rudersdal AS (V156)\ØR2027\"/>
    </mc:Choice>
  </mc:AlternateContent>
  <xr:revisionPtr revIDLastSave="0" documentId="13_ncr:1_{C3C4DF9B-7368-492C-9161-D67634804199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Engangstillæg'!$A$1:$G$21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Engangstillæg'!$B$8:$F$19</definedName>
    <definedName name="EngTillæg_Tabel_Værdi">'5.3. Engangstillæg'!$B$19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Engangstillæg'!$A$1:$G$21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9" i="10"/>
  <c r="C19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3" i="3" l="1"/>
  <c r="C16" i="12"/>
  <c r="C20" i="3" s="1"/>
  <c r="C12" i="11"/>
  <c r="C19" i="3" s="1"/>
  <c r="C9" i="7"/>
  <c r="C20" i="7" s="1"/>
  <c r="C11" i="4" s="1"/>
  <c r="C12" i="4" s="1"/>
  <c r="C15" i="4" s="1"/>
  <c r="C19" i="4" s="1"/>
  <c r="C24" i="4" s="1"/>
  <c r="C12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<sst xmlns="http://schemas.openxmlformats.org/spreadsheetml/2006/main" count="350" uniqueCount="158">
  <si>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</si>
  <si>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</si>
  <si>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</si>
  <si>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</si>
  <si>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</si>
  <si>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</si>
  <si>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</si>
  <si>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</si>
  <si>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</si>
  <si>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</si>
  <si>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</si>
  <si>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</si>
  <si>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</si>
  <si>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</si>
  <si>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</si>
  <si>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</si>
  <si>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</si>
  <si>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</si>
  <si>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</si>
  <si>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</si>
  <si>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</si>
  <si>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</si>
  <si>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</si>
  <si>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</si>
  <si>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</si>
  <si>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</si>
  <si>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</si>
  <si>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</si>
  <si>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</si>
  <si>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</si>
  <si>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</si>
  <si>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</si>
  <si>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</si>
  <si>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</si>
  <si>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</si>
  <si>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</si>
  <si>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</si>
  <si>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</si>
  <si>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</si>
  <si>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</si>
  <si>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</si>
  <si>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</si>
  <si>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</si>
  <si>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</si>
  <si>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</si>
  <si>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</si>
  <si>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</si>
  <si>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</si>
  <si>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</si>
  <si>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</si>
  <si>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</si>
  <si>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</si>
  <si>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</si>
  <si>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</si>
  <si>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</si>
  <si>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</si>
  <si>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</si>
  <si>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</si>
  <si>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</si>
  <si>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</si>
  <si>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</si>
  <si>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</si>
  <si>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</si>
  <si>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</si>
  <si>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</si>
  <si>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</si>
  <si>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</si>
  <si>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</si>
  <si>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</si>
  <si>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</si>
  <si>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</si>
  <si>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</si>
  <si>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</si>
  <si>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</si>
  <si>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</si>
  <si>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</si>
  <si>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</si>
  <si>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</si>
  <si>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</si>
  <si>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</si>
  <si>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</si>
  <si>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</si>
  <si>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</si>
  <si>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</si>
  <si>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</si>
  <si>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</si>
  <si>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</si>
  <si>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</si>
  <si>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</si>
  <si>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</si>
  <si>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</si>
  <si>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</si>
  <si>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</si>
  <si>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</si>
  <si>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</si>
  <si>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</si>
  <si>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</si>
  <si>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</si>
  <si>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</si>
  <si>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</si>
  <si>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</si>
  <si>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</si>
  <si>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</si>
  <si>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</si>
  <si>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</si>
  <si>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</si>
  <si>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</si>
  <si>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</si>
  <si>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</si>
  <si>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</si>
  <si>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</si>
  <si>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</si>
  <si>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</si>
  <si>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</si>
  <si>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</si>
  <si>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</si>
  <si>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</si>
  <si>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</si>
  <si>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</si>
  <si>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</si>
  <si>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</si>
  <si>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</si>
  <si>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</si>
  <si>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</si>
  <si>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</si>
  <si>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</si>
  <si>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</si>
  <si>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</si>
  <si>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</si>
  <si>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</si>
  <si>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</si>
  <si>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</si>
  <si>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</si>
  <si>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</si>
  <si>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</si>
  <si>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</si>
  <si>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</si>
  <si>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</si>
  <si>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</si>
  <si>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</si>
  <si>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</si>
  <si>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</si>
  <si>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</si>
  <si>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</si>
  <si>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</si>
  <si>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</si>
  <si>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</si>
  <si>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</si>
  <si>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Nedsættelse ibm. fjernaflæste målere</t>
  </si>
  <si>
    <t>Ekstraordinær ledningsrenovering</t>
  </si>
  <si>
    <t>Ignition</t>
  </si>
  <si>
    <t>renter 2024</t>
  </si>
  <si>
    <t>Renter 2024</t>
  </si>
  <si>
    <t>stiketablering</t>
  </si>
  <si>
    <t>BNBO</t>
  </si>
  <si>
    <t>CSRD og bæredygtighed</t>
  </si>
  <si>
    <t>Energiledelse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</si>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</sst>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6" fillId="4" borderId="4" xfId="0" applyNumberFormat="1" applyFont="1" applyFill="1" applyBorder="1" applyAlignment="1">
      <alignment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6" t="s">
        <v>0</v>
      </c>
      <c r="D6" s="106"/>
      <c r="E6" s="10"/>
    </row>
    <row r="7" spans="1:5" ht="15" customHeight="1" x14ac:dyDescent="0.25">
      <c r="A7" s="9"/>
      <c r="B7" s="10"/>
      <c r="C7" s="106"/>
      <c r="D7" s="106"/>
      <c r="E7" s="10"/>
    </row>
    <row r="8" spans="1:5" ht="15.75" customHeight="1" x14ac:dyDescent="0.25">
      <c r="A8" s="9"/>
      <c r="B8" s="11"/>
      <c r="C8" s="107" t="s">
        <v>1</v>
      </c>
      <c r="D8" s="107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8" t="s">
        <v>2</v>
      </c>
      <c r="D11" s="108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9" t="s">
        <v>14</v>
      </c>
      <c r="D23" s="109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JztCR/xdLv9skzIUfoj4Ec6h7egWstxJVr/ZL7IHex4l7xNsAhmHEIiRI72MTd6tt1xRt7UiWAJjCJ4B0VwPJg==" saltValue="hq21kNw0s1+22EVg1vj4j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21831823.981120873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805137.19568230968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24</v>
      </c>
      <c r="C12" s="26">
        <f>-('6. Bortfald'!C12+'6. Bortfald'!E12)</f>
        <v>-383312.25878396799</v>
      </c>
      <c r="D12" s="23" t="s">
        <v>31</v>
      </c>
      <c r="E12" s="9"/>
    </row>
    <row r="13" spans="1:5" ht="15" customHeight="1" x14ac:dyDescent="0.25">
      <c r="A13" s="9"/>
      <c r="B13" s="24" t="s">
        <v>34</v>
      </c>
      <c r="C13" s="26">
        <f>'7. Tilknyttet virksomhed'!C12+'7. Tilknyttet virksomhed'!E12</f>
        <v>0</v>
      </c>
      <c r="D13" s="23" t="s">
        <v>31</v>
      </c>
      <c r="E13" s="9"/>
    </row>
    <row r="14" spans="1:5" ht="15" customHeight="1" x14ac:dyDescent="0.25">
      <c r="A14" s="9"/>
      <c r="B14" s="24" t="s">
        <v>35</v>
      </c>
      <c r="C14" s="27">
        <f>-(SUM(C9:C13)*'8. Nøgletal'!C24)</f>
        <v>-258590.52747517396</v>
      </c>
      <c r="D14" s="23" t="s">
        <v>31</v>
      </c>
      <c r="E14" s="9"/>
    </row>
    <row r="15" spans="1:5" ht="15" customHeight="1" x14ac:dyDescent="0.25">
      <c r="A15" s="9"/>
      <c r="B15" s="24" t="s">
        <v>36</v>
      </c>
      <c r="C15" s="27">
        <f>'4. Generelle eff. krav'!C20</f>
        <v>-219364.29383477313</v>
      </c>
      <c r="D15" s="23" t="s">
        <v>31</v>
      </c>
      <c r="E15" s="9"/>
    </row>
    <row r="16" spans="1:5" ht="15" customHeight="1" x14ac:dyDescent="0.25">
      <c r="A16" s="9"/>
      <c r="B16" s="24" t="s">
        <v>37</v>
      </c>
      <c r="C16" s="26">
        <f>SUM(C9:C15)*'8. Nøgletal'!C10</f>
        <v>280906.45384754956</v>
      </c>
      <c r="D16" s="23" t="s">
        <v>31</v>
      </c>
      <c r="E16" s="9"/>
    </row>
    <row r="17" spans="1:5" ht="15" customHeight="1" x14ac:dyDescent="0.25">
      <c r="A17" s="9"/>
      <c r="B17" s="28" t="s">
        <v>38</v>
      </c>
      <c r="C17" s="29">
        <f>SUM(C9:C16)</f>
        <v>22056600.55055682</v>
      </c>
      <c r="D17" s="30" t="s">
        <v>31</v>
      </c>
      <c r="E17" s="9"/>
    </row>
    <row r="18" spans="1:5" ht="15" customHeight="1" x14ac:dyDescent="0.25">
      <c r="A18" s="9"/>
      <c r="B18" s="31" t="s">
        <v>39</v>
      </c>
      <c r="C18" s="27">
        <f>'5.1. § 10-tillæg'!C25</f>
        <v>0</v>
      </c>
      <c r="D18" s="32" t="s">
        <v>31</v>
      </c>
      <c r="E18" s="9"/>
    </row>
    <row r="19" spans="1:5" ht="15" customHeight="1" x14ac:dyDescent="0.25">
      <c r="A19" s="9"/>
      <c r="B19" s="33" t="s">
        <v>40</v>
      </c>
      <c r="C19" s="27">
        <f>'5.4. Periodevise driftsomk.'!C12</f>
        <v>0</v>
      </c>
      <c r="D19" s="32" t="s">
        <v>31</v>
      </c>
      <c r="E19" s="9"/>
    </row>
    <row r="20" spans="1:5" ht="15" hidden="1" customHeight="1" x14ac:dyDescent="0.25">
      <c r="A20" s="9"/>
      <c r="B20" s="21" t="s">
        <v>22</v>
      </c>
      <c r="C20" s="27">
        <f>'5.5. Korr. af ØR2025'!C16</f>
        <v>0</v>
      </c>
      <c r="D20" s="32" t="s">
        <v>31</v>
      </c>
      <c r="E20" s="9"/>
    </row>
    <row r="21" spans="1:5" ht="15" customHeight="1" x14ac:dyDescent="0.25">
      <c r="A21" s="9"/>
      <c r="B21" s="31" t="s">
        <v>42</v>
      </c>
      <c r="C21" s="27">
        <v>0</v>
      </c>
      <c r="D21" s="32" t="s">
        <v>31</v>
      </c>
      <c r="E21" s="9"/>
    </row>
    <row r="22" spans="1:5" ht="15" customHeight="1" x14ac:dyDescent="0.25">
      <c r="A22" s="9"/>
      <c r="B22" s="18" t="s">
        <v>4</v>
      </c>
      <c r="C22" s="34">
        <f>SUM(C17:C21)</f>
        <v>22056600.55055682</v>
      </c>
      <c r="D22" s="20" t="s">
        <v>31</v>
      </c>
      <c r="E22" s="9"/>
    </row>
    <row r="23" spans="1:5" ht="15" customHeight="1" x14ac:dyDescent="0.25">
      <c r="A23" s="9"/>
      <c r="B23" s="9"/>
      <c r="C23" s="9"/>
      <c r="D23" s="9"/>
      <c r="E23" s="9"/>
    </row>
    <row r="24" spans="1:5" ht="15" customHeight="1" x14ac:dyDescent="0.25">
      <c r="A24" s="9"/>
      <c r="B24" s="9"/>
      <c r="C24" s="9"/>
      <c r="D24" s="9"/>
      <c r="E24" s="9"/>
    </row>
  </sheetData>
  <sheetProtection algorithmName="SHA-512" hashValue="tbd+moY1NWJsjL6f2rgs/a5uxiX9sxYUGtQXy1BsE9JfKqTHDZkEkRa3S6pPFCVyUQzOV4JVbYK4gBlS8x/hyQ==" saltValue="7gGCNXubD7GCFdPt0aiZy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66.85546875" bestFit="1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82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83</v>
      </c>
      <c r="C8" s="19"/>
      <c r="D8" s="20"/>
      <c r="E8" s="9"/>
    </row>
    <row r="9" spans="1:5" ht="15" customHeight="1" x14ac:dyDescent="0.25">
      <c r="A9" s="9"/>
      <c r="B9" s="37" t="s">
        <v>127</v>
      </c>
      <c r="C9" s="38">
        <v>31570353</v>
      </c>
      <c r="D9" s="39" t="s">
        <v>31</v>
      </c>
      <c r="E9" s="9"/>
    </row>
    <row r="10" spans="1:5" ht="15" customHeight="1" x14ac:dyDescent="0.25">
      <c r="A10" s="9"/>
      <c r="B10" s="37" t="s">
        <v>129</v>
      </c>
      <c r="C10" s="38">
        <f>'3. Omk. i ØR2026'!C10</f>
        <v>10008.390153064967</v>
      </c>
      <c r="D10" s="39" t="s">
        <v>31</v>
      </c>
      <c r="E10" s="9"/>
    </row>
    <row r="11" spans="1:5" ht="15" customHeight="1" x14ac:dyDescent="0.25">
      <c r="A11" s="9"/>
      <c r="B11" s="37" t="s">
        <v>130</v>
      </c>
      <c r="C11" s="40">
        <f>'5.1. § 10-tillæg'!C20+'5.2. Varige tillæg'!C18+'5.2. Varige tillæg'!E18+'5.3. Engangstillæg'!C19+'5.3. Engangstillæg'!E19</f>
        <v>1263368.2754581599</v>
      </c>
      <c r="D11" s="39" t="s">
        <v>31</v>
      </c>
      <c r="E11" s="9"/>
    </row>
    <row r="12" spans="1:5" ht="15" customHeight="1" x14ac:dyDescent="0.25">
      <c r="A12" s="9"/>
      <c r="B12" s="28" t="s">
        <v>128</v>
      </c>
      <c r="C12" s="29">
        <f>C9+C10+C11</f>
        <v>32843729.665611226</v>
      </c>
      <c r="D12" s="30" t="s">
        <v>31</v>
      </c>
      <c r="E12" s="9"/>
    </row>
    <row r="13" spans="1:5" ht="15" customHeight="1" x14ac:dyDescent="0.25">
      <c r="A13" s="9"/>
      <c r="B13" s="37" t="s">
        <v>84</v>
      </c>
      <c r="C13" s="38">
        <v>31451777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131</v>
      </c>
      <c r="C15" s="34">
        <f>C12-C13</f>
        <v>1391952.6656112261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85</v>
      </c>
      <c r="C17" s="19"/>
      <c r="D17" s="20"/>
      <c r="E17" s="9"/>
    </row>
    <row r="18" spans="1:5" ht="15" customHeight="1" x14ac:dyDescent="0.25">
      <c r="A18" s="9"/>
      <c r="B18" s="37" t="s">
        <v>126</v>
      </c>
      <c r="C18" s="38">
        <v>1921629</v>
      </c>
      <c r="D18" s="39" t="s">
        <v>31</v>
      </c>
      <c r="E18" s="9"/>
    </row>
    <row r="19" spans="1:5" ht="15" customHeight="1" x14ac:dyDescent="0.25">
      <c r="A19" s="9"/>
      <c r="B19" s="18" t="s">
        <v>141</v>
      </c>
      <c r="C19" s="34">
        <f>C15+C18</f>
        <v>3313581.6656112261</v>
      </c>
      <c r="D19" s="20" t="s">
        <v>31</v>
      </c>
      <c r="E19" s="9"/>
    </row>
    <row r="20" spans="1:5" ht="49.5" customHeight="1" x14ac:dyDescent="0.25">
      <c r="A20" s="9"/>
      <c r="B20" s="111" t="s">
        <v>142</v>
      </c>
      <c r="C20" s="112"/>
      <c r="D20" s="113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143</v>
      </c>
      <c r="C22" s="19"/>
      <c r="D22" s="20"/>
      <c r="E22" s="9"/>
    </row>
    <row r="23" spans="1:5" ht="27.95" customHeight="1" x14ac:dyDescent="0.25">
      <c r="A23" s="9"/>
      <c r="B23" s="42" t="s">
        <v>144</v>
      </c>
      <c r="C23" s="43">
        <f>100*1921629/(30890640+12167)</f>
        <v>6.2182991985161733</v>
      </c>
      <c r="D23" s="39" t="s">
        <v>145</v>
      </c>
      <c r="E23" s="9"/>
    </row>
    <row r="24" spans="1:5" ht="27.95" customHeight="1" x14ac:dyDescent="0.25">
      <c r="A24" s="9"/>
      <c r="B24" s="42" t="s">
        <v>146</v>
      </c>
      <c r="C24" s="43">
        <f>C19/C12*100</f>
        <v>10.088932345222309</v>
      </c>
      <c r="D24" s="39" t="s">
        <v>145</v>
      </c>
      <c r="E24" s="9"/>
    </row>
    <row r="25" spans="1:5" ht="56.25" customHeight="1" x14ac:dyDescent="0.25">
      <c r="A25" s="9"/>
      <c r="B25" s="111" t="s">
        <v>147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aID9P7SBYsq/5kxR3o5w3SJjAgFQYxUwSgfJ2U2kpbDKYyOtR9U+kaGtiVdXB+4OI1zehA4rAoGjRyHT9pJpnQ==" saltValue="JWRtYKvfsCFcrfj9AVcKc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5" t="s">
        <v>86</v>
      </c>
      <c r="C3" s="115"/>
      <c r="D3" s="115"/>
      <c r="E3" s="44"/>
    </row>
    <row r="4" spans="1:5" ht="15" customHeight="1" x14ac:dyDescent="0.25">
      <c r="A4" s="44"/>
      <c r="B4" s="115"/>
      <c r="C4" s="115"/>
      <c r="D4" s="115"/>
      <c r="E4" s="44"/>
    </row>
    <row r="5" spans="1:5" ht="15" customHeight="1" x14ac:dyDescent="0.25">
      <c r="A5" s="44"/>
      <c r="B5" s="115"/>
      <c r="C5" s="115"/>
      <c r="D5" s="115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134</v>
      </c>
      <c r="C8" s="46"/>
      <c r="D8" s="47"/>
      <c r="E8" s="44"/>
    </row>
    <row r="9" spans="1:5" ht="15" customHeight="1" x14ac:dyDescent="0.25">
      <c r="A9" s="44"/>
      <c r="B9" s="48" t="s">
        <v>121</v>
      </c>
      <c r="C9" s="49">
        <v>20789127.537963774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10008.390153064967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-116583.93258012156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-208178.94750063936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1357450.933084792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21831823.981120873</v>
      </c>
      <c r="D17" s="57" t="s">
        <v>31</v>
      </c>
      <c r="E17" s="44"/>
    </row>
    <row r="18" spans="1:5" ht="15" customHeight="1" x14ac:dyDescent="0.25">
      <c r="A18" s="44"/>
      <c r="B18" s="58" t="s">
        <v>122</v>
      </c>
      <c r="C18" s="54">
        <v>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0</v>
      </c>
      <c r="D20" s="63" t="s">
        <v>31</v>
      </c>
      <c r="E20" s="44"/>
    </row>
    <row r="21" spans="1:5" ht="15" customHeight="1" x14ac:dyDescent="0.25">
      <c r="A21" s="44"/>
      <c r="B21" s="48" t="s">
        <v>123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0</v>
      </c>
      <c r="D22" s="59" t="s">
        <v>31</v>
      </c>
      <c r="E22" s="44"/>
    </row>
    <row r="23" spans="1:5" ht="15" customHeight="1" x14ac:dyDescent="0.25">
      <c r="A23" s="44"/>
      <c r="B23" s="45" t="s">
        <v>157</v>
      </c>
      <c r="C23" s="64">
        <v>21831823.981120873</v>
      </c>
      <c r="D23" s="47" t="s">
        <v>31</v>
      </c>
      <c r="E23" s="44"/>
    </row>
    <row r="24" spans="1:5" ht="30" customHeight="1" x14ac:dyDescent="0.25">
      <c r="A24" s="44"/>
      <c r="B24" s="116" t="s">
        <v>135</v>
      </c>
      <c r="C24" s="116"/>
      <c r="D24" s="116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rF+qpCslIPuWEAP2WHLR8EQI0vd03OnVDXavk+itd61s3f/xePl/ZKd9V92VCoV5KpSct6IXjBJI2UEScUW1QQ==" saltValue="BfXn1qeSObQU/AgGHPvEN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17" t="s">
        <v>87</v>
      </c>
      <c r="C8" s="118"/>
      <c r="D8" s="119"/>
      <c r="E8" s="9"/>
    </row>
    <row r="9" spans="1:5" ht="15" customHeight="1" x14ac:dyDescent="0.25">
      <c r="A9" s="9"/>
      <c r="B9" s="42" t="s">
        <v>88</v>
      </c>
      <c r="C9" s="2">
        <v>11099060.585996589</v>
      </c>
      <c r="D9" s="39" t="s">
        <v>31</v>
      </c>
      <c r="E9" s="9"/>
    </row>
    <row r="10" spans="1:5" ht="15" customHeight="1" x14ac:dyDescent="0.25">
      <c r="A10" s="9"/>
      <c r="B10" s="67" t="s">
        <v>89</v>
      </c>
      <c r="C10" s="3">
        <f>-'8. Nøgletal'!C19*C9</f>
        <v>-221981.21171993177</v>
      </c>
      <c r="D10" s="39" t="s">
        <v>31</v>
      </c>
      <c r="E10" s="9"/>
    </row>
    <row r="11" spans="1:5" ht="15" customHeight="1" x14ac:dyDescent="0.25">
      <c r="A11" s="9"/>
      <c r="B11" s="67" t="s">
        <v>90</v>
      </c>
      <c r="C11" s="2">
        <f>('5.2. Varige tillæg'!C18)*(1+'8. Nøgletal'!C9)*(1-'8. Nøgletal'!C19)+'5.6 Anlægsprojekter'!C12-'6. Bortfald'!C12+'7. Tilknyttet virksomhed'!C12</f>
        <v>91135.317462000006</v>
      </c>
      <c r="D11" s="39" t="s">
        <v>31</v>
      </c>
      <c r="E11" s="9"/>
    </row>
    <row r="12" spans="1:5" ht="15" customHeight="1" x14ac:dyDescent="0.25">
      <c r="A12" s="9"/>
      <c r="B12" s="42" t="s">
        <v>91</v>
      </c>
      <c r="C12" s="2">
        <f>SUM(C9:C11)</f>
        <v>10968214.691738656</v>
      </c>
      <c r="D12" s="39" t="s">
        <v>31</v>
      </c>
      <c r="E12" s="9"/>
    </row>
    <row r="13" spans="1:5" ht="15" customHeight="1" x14ac:dyDescent="0.25">
      <c r="A13" s="9"/>
      <c r="B13" s="68" t="s">
        <v>92</v>
      </c>
      <c r="C13" s="69">
        <f>-C12*'8. Nøgletal'!C19</f>
        <v>-219364.29383477313</v>
      </c>
      <c r="D13" s="70" t="s">
        <v>31</v>
      </c>
      <c r="E13" s="71"/>
    </row>
    <row r="14" spans="1:5" ht="15" customHeight="1" x14ac:dyDescent="0.25">
      <c r="A14" s="9"/>
      <c r="B14" s="117" t="s">
        <v>93</v>
      </c>
      <c r="C14" s="118"/>
      <c r="D14" s="119"/>
      <c r="E14" s="9"/>
    </row>
    <row r="15" spans="1:5" ht="15" customHeight="1" x14ac:dyDescent="0.25">
      <c r="A15" s="9"/>
      <c r="B15" s="37" t="s">
        <v>46</v>
      </c>
      <c r="C15" s="3">
        <v>12459911.913058082</v>
      </c>
      <c r="D15" s="39" t="s">
        <v>31</v>
      </c>
      <c r="E15" s="9"/>
    </row>
    <row r="16" spans="1:5" ht="15" customHeight="1" x14ac:dyDescent="0.25">
      <c r="A16" s="9"/>
      <c r="B16" s="67" t="s">
        <v>89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94</v>
      </c>
      <c r="C17" s="2">
        <f>('5.2. Varige tillæg'!E18)*(1+'8. Nøgletal'!C9)*(1-'8. Nøgletal'!C14)+'5.6 Anlægsprojekter'!E12-'6. Bortfald'!E12+'7. Tilknyttet virksomhed'!E12</f>
        <v>335238.52111603197</v>
      </c>
      <c r="D17" s="39" t="s">
        <v>31</v>
      </c>
      <c r="E17" s="9"/>
    </row>
    <row r="18" spans="1:5" ht="15" customHeight="1" x14ac:dyDescent="0.25">
      <c r="A18" s="9"/>
      <c r="B18" s="42" t="s">
        <v>95</v>
      </c>
      <c r="C18" s="2">
        <f>SUM(C15:C17)</f>
        <v>12795150.434174113</v>
      </c>
      <c r="D18" s="39" t="s">
        <v>31</v>
      </c>
      <c r="E18" s="9"/>
    </row>
    <row r="19" spans="1:5" ht="15" customHeight="1" x14ac:dyDescent="0.25">
      <c r="A19" s="9"/>
      <c r="B19" s="68" t="s">
        <v>96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97</v>
      </c>
      <c r="C20" s="34">
        <f>C13+C19</f>
        <v>-219364.29383477313</v>
      </c>
      <c r="D20" s="20" t="s">
        <v>31</v>
      </c>
      <c r="E20" s="9"/>
    </row>
    <row r="21" spans="1:5" ht="39.950000000000003" customHeight="1" x14ac:dyDescent="0.25">
      <c r="A21" s="9"/>
      <c r="B21" s="120" t="s">
        <v>124</v>
      </c>
      <c r="C21" s="121"/>
      <c r="D21" s="122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eepjiZOmGnLEr0xoBQgMbEjuk4EDfoWsasIU1WPUCSRmT+22RlE1IbKANSuFuszTyVrn60K7LMOh8+3QvJPZpg==" saltValue="CKHh3Py6457CvphzuMpz3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3" t="s">
        <v>98</v>
      </c>
      <c r="C8" s="124"/>
      <c r="D8" s="125"/>
      <c r="E8" s="9"/>
    </row>
    <row r="9" spans="1:5" ht="15" customHeight="1" x14ac:dyDescent="0.25">
      <c r="A9" s="9"/>
      <c r="B9" s="73" t="s">
        <v>136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137</v>
      </c>
      <c r="C10" s="26">
        <f>'5.1.a. § 10-tillæg'!E10</f>
        <v>4421.275458160002</v>
      </c>
      <c r="D10" s="39" t="s">
        <v>31</v>
      </c>
      <c r="E10" s="9"/>
    </row>
    <row r="11" spans="1:5" ht="15" customHeight="1" x14ac:dyDescent="0.25">
      <c r="A11" s="9"/>
      <c r="B11" s="73" t="s">
        <v>138</v>
      </c>
      <c r="C11" s="26">
        <f>'5.1.a. § 10-tillæg'!E11</f>
        <v>0</v>
      </c>
      <c r="D11" s="39" t="s">
        <v>31</v>
      </c>
      <c r="E11" s="9"/>
    </row>
    <row r="12" spans="1:5" ht="15" customHeight="1" x14ac:dyDescent="0.25">
      <c r="A12" s="9"/>
      <c r="B12" s="73" t="s">
        <v>139</v>
      </c>
      <c r="C12" s="26">
        <f>'5.1.a. § 10-tillæg'!E12</f>
        <v>0</v>
      </c>
      <c r="D12" s="39" t="s">
        <v>31</v>
      </c>
      <c r="E12" s="9"/>
    </row>
    <row r="13" spans="1:5" ht="15" customHeight="1" x14ac:dyDescent="0.25">
      <c r="A13" s="9"/>
      <c r="B13" s="74"/>
      <c r="C13" s="75"/>
      <c r="D13" s="39" t="s">
        <v>31</v>
      </c>
      <c r="E13" s="9"/>
    </row>
    <row r="14" spans="1:5" ht="15" customHeight="1" x14ac:dyDescent="0.25">
      <c r="A14" s="9"/>
      <c r="B14" s="74"/>
      <c r="C14" s="75"/>
      <c r="D14" s="39" t="s">
        <v>31</v>
      </c>
      <c r="E14" s="9"/>
    </row>
    <row r="15" spans="1:5" ht="15" customHeight="1" x14ac:dyDescent="0.25">
      <c r="A15" s="9"/>
      <c r="B15" s="74"/>
      <c r="C15" s="75"/>
      <c r="D15" s="39" t="s">
        <v>31</v>
      </c>
      <c r="E15" s="9"/>
    </row>
    <row r="16" spans="1:5" ht="15" customHeight="1" x14ac:dyDescent="0.25">
      <c r="A16" s="9"/>
      <c r="B16" s="74"/>
      <c r="C16" s="75"/>
      <c r="D16" s="39" t="s">
        <v>31</v>
      </c>
      <c r="E16" s="9"/>
    </row>
    <row r="17" spans="1:5" ht="15" customHeight="1" x14ac:dyDescent="0.25">
      <c r="A17" s="9"/>
      <c r="B17" s="74"/>
      <c r="C17" s="75"/>
      <c r="D17" s="39" t="s">
        <v>31</v>
      </c>
      <c r="E17" s="9"/>
    </row>
    <row r="18" spans="1:5" ht="15" customHeight="1" x14ac:dyDescent="0.25">
      <c r="A18" s="9"/>
      <c r="B18" s="74"/>
      <c r="C18" s="75"/>
      <c r="D18" s="39" t="s">
        <v>31</v>
      </c>
      <c r="E18" s="9"/>
    </row>
    <row r="19" spans="1:5" ht="15" customHeight="1" x14ac:dyDescent="0.25">
      <c r="A19" s="9"/>
      <c r="B19" s="74"/>
      <c r="C19" s="75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4421.275458160002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17" t="s">
        <v>39</v>
      </c>
      <c r="C22" s="118"/>
      <c r="D22" s="119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VUpzxsqrjm0SHGd1GtVyziCydZ1SaaJAezdZFsiBkRUa+hMFP2jOkmwhkpL9vGome2/Y+UAXOnzW04Bw+7sgKw==" saltValue="bBcUA3t4qKpti2IsJj4qi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99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125</v>
      </c>
      <c r="C8" s="85" t="s">
        <v>100</v>
      </c>
      <c r="D8" s="86" t="s">
        <v>101</v>
      </c>
      <c r="E8" s="86" t="s">
        <v>102</v>
      </c>
      <c r="F8" s="20"/>
      <c r="G8" s="9"/>
    </row>
    <row r="9" spans="1:7" ht="15" customHeight="1" x14ac:dyDescent="0.25">
      <c r="A9" s="9"/>
      <c r="B9" s="73" t="s">
        <v>136</v>
      </c>
      <c r="C9" s="26">
        <v>10464079.460901991</v>
      </c>
      <c r="D9" s="26">
        <v>9686028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137</v>
      </c>
      <c r="C10" s="26">
        <v>81108.724541839998</v>
      </c>
      <c r="D10" s="26">
        <v>85530</v>
      </c>
      <c r="E10" s="26">
        <f t="shared" ref="E10:E19" si="0">MAX(D10-C10,0)</f>
        <v>4421.275458160002</v>
      </c>
      <c r="F10" s="39" t="s">
        <v>31</v>
      </c>
      <c r="G10" s="9"/>
    </row>
    <row r="11" spans="1:7" ht="45" customHeight="1" x14ac:dyDescent="0.25">
      <c r="A11" s="9"/>
      <c r="B11" s="73" t="s">
        <v>138</v>
      </c>
      <c r="C11" s="26">
        <v>46682.848629718297</v>
      </c>
      <c r="D11" s="26">
        <v>12720</v>
      </c>
      <c r="E11" s="26">
        <f t="shared" si="0"/>
        <v>0</v>
      </c>
      <c r="F11" s="39" t="s">
        <v>31</v>
      </c>
      <c r="G11" s="9"/>
    </row>
    <row r="12" spans="1:7" ht="15" customHeight="1" x14ac:dyDescent="0.25">
      <c r="A12" s="9"/>
      <c r="B12" s="73" t="s">
        <v>139</v>
      </c>
      <c r="C12" s="26">
        <v>96634.400688790003</v>
      </c>
      <c r="D12" s="26">
        <v>95530</v>
      </c>
      <c r="E12" s="26">
        <f t="shared" si="0"/>
        <v>0</v>
      </c>
      <c r="F12" s="39" t="s">
        <v>31</v>
      </c>
      <c r="G12" s="9"/>
    </row>
    <row r="13" spans="1:7" ht="15" hidden="1" customHeight="1" x14ac:dyDescent="0.25">
      <c r="A13" s="9"/>
      <c r="B13" s="74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4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4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4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4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4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4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26" t="s">
        <v>103</v>
      </c>
      <c r="C21" s="127"/>
      <c r="D21" s="127"/>
      <c r="E21" s="127"/>
      <c r="F21" s="128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hIvdYfhXDyneFmlg48gQ6Vao/B5/0YlPyegvLYYWlhgfbgDNk0fk/2NuA8xxaKM/Z31Y+1YKTO+eDRcEuR2qLA==" saltValue="CulBaWxIvMVPp8kkCVouf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149</v>
      </c>
      <c r="C10" s="26">
        <v>0</v>
      </c>
      <c r="D10" s="39" t="s">
        <v>31</v>
      </c>
      <c r="E10" s="26">
        <v>598048</v>
      </c>
      <c r="F10" s="39" t="s">
        <v>31</v>
      </c>
      <c r="G10" s="9"/>
    </row>
    <row r="11" spans="1:7" ht="15" customHeight="1" x14ac:dyDescent="0.25">
      <c r="A11" s="9"/>
      <c r="B11" s="91" t="s">
        <v>150</v>
      </c>
      <c r="C11" s="26">
        <v>0</v>
      </c>
      <c r="D11" s="39" t="s">
        <v>31</v>
      </c>
      <c r="E11" s="26">
        <v>44987</v>
      </c>
      <c r="F11" s="39" t="s">
        <v>31</v>
      </c>
      <c r="G11" s="9"/>
    </row>
    <row r="12" spans="1:7" ht="15" customHeight="1" x14ac:dyDescent="0.25">
      <c r="A12" s="9"/>
      <c r="B12" s="91" t="s">
        <v>151</v>
      </c>
      <c r="C12" s="26">
        <v>0</v>
      </c>
      <c r="D12" s="39" t="s">
        <v>31</v>
      </c>
      <c r="E12" s="26">
        <v>19462</v>
      </c>
      <c r="F12" s="39" t="s">
        <v>31</v>
      </c>
      <c r="G12" s="9"/>
    </row>
    <row r="13" spans="1:7" ht="15" customHeight="1" x14ac:dyDescent="0.25">
      <c r="A13" s="9"/>
      <c r="B13" s="91" t="s">
        <v>152</v>
      </c>
      <c r="C13" s="26">
        <v>0</v>
      </c>
      <c r="D13" s="39" t="s">
        <v>31</v>
      </c>
      <c r="E13" s="26">
        <v>4275</v>
      </c>
      <c r="F13" s="39" t="s">
        <v>31</v>
      </c>
      <c r="G13" s="9"/>
    </row>
    <row r="14" spans="1:7" ht="15" customHeight="1" x14ac:dyDescent="0.25">
      <c r="A14" s="9"/>
      <c r="B14" s="91" t="s">
        <v>153</v>
      </c>
      <c r="C14" s="26">
        <v>87213</v>
      </c>
      <c r="D14" s="39" t="s">
        <v>31</v>
      </c>
      <c r="E14" s="26">
        <v>7101</v>
      </c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104</v>
      </c>
      <c r="C18" s="76">
        <f>SUM(C10:C17)</f>
        <v>87213</v>
      </c>
      <c r="D18" s="77" t="s">
        <v>31</v>
      </c>
      <c r="E18" s="76">
        <f>SUM(E10:E17)</f>
        <v>673873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-488.84889003322775</v>
      </c>
      <c r="D19" s="39" t="s">
        <v>31</v>
      </c>
      <c r="E19" s="26">
        <f>-E18*'8. Nøgletal'!C23</f>
        <v>-3777.2128934145285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-1744.26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5634.1667805907973</v>
      </c>
      <c r="D21" s="39" t="s">
        <v>31</v>
      </c>
      <c r="E21" s="26">
        <f>SUM(E18:E20)*'8. Nøgletal'!C9</f>
        <v>44427.350685166617</v>
      </c>
      <c r="F21" s="39" t="s">
        <v>31</v>
      </c>
      <c r="G21" s="9"/>
    </row>
    <row r="22" spans="1:7" ht="26.25" customHeight="1" x14ac:dyDescent="0.25">
      <c r="A22" s="9"/>
      <c r="B22" s="84" t="s">
        <v>105</v>
      </c>
      <c r="C22" s="76">
        <f>SUM(C18:C21)</f>
        <v>90614.057890557568</v>
      </c>
      <c r="D22" s="77" t="s">
        <v>31</v>
      </c>
      <c r="E22" s="76">
        <f>SUM(E18:E21)</f>
        <v>714523.13779175212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bHhE7YfGlTB7pusDku/ebjizDzsgVj724ClRCCrqkb1UGgMqxXMYcrdF2OrbTDrbgm1HsFskn4gq715w6GnZUw==" saltValue="HI9KkKwtY2Vc/tEJssIfg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1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18</v>
      </c>
      <c r="C8" s="118"/>
      <c r="D8" s="118"/>
      <c r="E8" s="118"/>
      <c r="F8" s="119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154</v>
      </c>
      <c r="C10" s="26">
        <v>93528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91" t="s">
        <v>155</v>
      </c>
      <c r="C11" s="26">
        <v>132590</v>
      </c>
      <c r="D11" s="39" t="s">
        <v>31</v>
      </c>
      <c r="E11" s="26">
        <v>0</v>
      </c>
      <c r="F11" s="39" t="s">
        <v>31</v>
      </c>
      <c r="G11" s="9"/>
    </row>
    <row r="12" spans="1:7" ht="15" customHeight="1" x14ac:dyDescent="0.25">
      <c r="A12" s="9"/>
      <c r="B12" s="91" t="s">
        <v>149</v>
      </c>
      <c r="C12" s="26">
        <v>0</v>
      </c>
      <c r="D12" s="39" t="s">
        <v>31</v>
      </c>
      <c r="E12" s="26">
        <v>203411</v>
      </c>
      <c r="F12" s="39" t="s">
        <v>31</v>
      </c>
      <c r="G12" s="9"/>
    </row>
    <row r="13" spans="1:7" ht="15" customHeight="1" x14ac:dyDescent="0.25">
      <c r="A13" s="9"/>
      <c r="B13" s="91" t="s">
        <v>156</v>
      </c>
      <c r="C13" s="26">
        <v>66103</v>
      </c>
      <c r="D13" s="39" t="s">
        <v>31</v>
      </c>
      <c r="E13" s="26">
        <v>0</v>
      </c>
      <c r="F13" s="39" t="s">
        <v>31</v>
      </c>
      <c r="G13" s="9"/>
    </row>
    <row r="14" spans="1:7" ht="15" customHeight="1" x14ac:dyDescent="0.25">
      <c r="A14" s="9"/>
      <c r="B14" s="91" t="s">
        <v>153</v>
      </c>
      <c r="C14" s="26">
        <v>0</v>
      </c>
      <c r="D14" s="39" t="s">
        <v>31</v>
      </c>
      <c r="E14" s="26">
        <v>2229</v>
      </c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91"/>
      <c r="C18" s="26"/>
      <c r="D18" s="39" t="s">
        <v>31</v>
      </c>
      <c r="E18" s="26"/>
      <c r="F18" s="39" t="s">
        <v>31</v>
      </c>
      <c r="G18" s="9"/>
    </row>
    <row r="19" spans="1:7" ht="15" customHeight="1" x14ac:dyDescent="0.25">
      <c r="A19" s="9"/>
      <c r="B19" s="18" t="s">
        <v>106</v>
      </c>
      <c r="C19" s="76">
        <f>SUM(C10:C18)</f>
        <v>292221</v>
      </c>
      <c r="D19" s="77" t="s">
        <v>31</v>
      </c>
      <c r="E19" s="76">
        <f>SUM(E10:E18)</f>
        <v>205640</v>
      </c>
      <c r="F19" s="77" t="s">
        <v>31</v>
      </c>
      <c r="G19" s="9"/>
    </row>
    <row r="20" spans="1:7" ht="15" customHeight="1" x14ac:dyDescent="0.25">
      <c r="A20" s="9"/>
      <c r="B20" s="9"/>
      <c r="C20" s="9"/>
      <c r="D20" s="9"/>
      <c r="E20" s="9"/>
      <c r="F20" s="9"/>
      <c r="G20" s="9"/>
    </row>
    <row r="21" spans="1:7" ht="15" customHeight="1" x14ac:dyDescent="0.25">
      <c r="A21" s="9"/>
      <c r="B21" s="92"/>
      <c r="C21" s="92"/>
      <c r="D21" s="92"/>
      <c r="E21" s="92"/>
      <c r="F21" s="92"/>
      <c r="G21" s="9"/>
    </row>
  </sheetData>
  <sheetProtection algorithmName="SHA-512" hashValue="7QGjth5oeZJP5mXWCmA0/QcyXrXRSn4LsO0jqr0BSZNmN2QlQkTEhD1mAwc9OMYaEXfkMqrZGfuszQP/WR8pqw==" saltValue="G8a2x+wwWAe3WFv18eAel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17" t="s">
        <v>107</v>
      </c>
      <c r="C8" s="118"/>
      <c r="D8" s="119"/>
      <c r="E8" s="9"/>
    </row>
    <row r="9" spans="1:5" ht="15" customHeight="1" x14ac:dyDescent="0.25">
      <c r="A9" s="9"/>
      <c r="B9" s="93" t="s">
        <v>108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109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a+EFT9WrqgSSz9DJeGhrcFk//LmUh9nckuosFUlGpC/DGp/mG7vyHqBI1eKL+X2uHD3uQXaudmYPKGvgfqilEQ==" saltValue="28CCryRHpSZWsa24Se66w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110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17" t="s">
        <v>57</v>
      </c>
      <c r="C8" s="118"/>
      <c r="D8" s="119"/>
      <c r="E8" s="9"/>
    </row>
    <row r="9" spans="1:5" ht="26.25" x14ac:dyDescent="0.25">
      <c r="A9" s="9"/>
      <c r="B9" s="81" t="s">
        <v>111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112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17" t="s">
        <v>59</v>
      </c>
      <c r="C12" s="118"/>
      <c r="D12" s="119"/>
      <c r="E12" s="9"/>
    </row>
    <row r="13" spans="1:5" ht="26.25" customHeight="1" x14ac:dyDescent="0.25">
      <c r="A13" s="9"/>
      <c r="B13" s="81" t="s">
        <v>140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113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4+jwMF9tAqY4UI6b0nFZBJ+Dnsll8U7e5/IpLqvpp0HRBBXIhTUuzaCPUwJGQwWAraaFZ3hMmTRvQafJCL4o3g==" saltValue="qmWMdV+kfOFEiwx0uHEvC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114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Q1E4ZBc88AXUUY0VzMjMgWUWm0Uy75RGbER0PEFnbU+o1BTORlrVnCz4R3CO5I5KHSpjRau+Dl9Uy4wAHMWs7A==" saltValue="8CwFUaNF+hL1E7xJAvBLm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115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148</v>
      </c>
      <c r="C10" s="26">
        <v>0</v>
      </c>
      <c r="D10" s="39" t="s">
        <v>31</v>
      </c>
      <c r="E10" s="26">
        <v>359478.81345209415</v>
      </c>
      <c r="F10" s="39" t="s">
        <v>31</v>
      </c>
      <c r="G10" s="9"/>
    </row>
    <row r="11" spans="1:7" ht="15" customHeight="1" x14ac:dyDescent="0.25">
      <c r="A11" s="9"/>
      <c r="B11" s="18" t="s">
        <v>72</v>
      </c>
      <c r="C11" s="76">
        <f>SUM(C10:C10)</f>
        <v>0</v>
      </c>
      <c r="D11" s="77" t="s">
        <v>31</v>
      </c>
      <c r="E11" s="76">
        <f>SUM(E10:E10)</f>
        <v>359478.81345209415</v>
      </c>
      <c r="F11" s="77" t="s">
        <v>31</v>
      </c>
      <c r="G11" s="9"/>
    </row>
    <row r="12" spans="1:7" ht="15" customHeight="1" x14ac:dyDescent="0.25">
      <c r="A12" s="9"/>
      <c r="B12" s="18" t="s">
        <v>116</v>
      </c>
      <c r="C12" s="76">
        <f>C11*(1+'8. Nøgletal'!C9)</f>
        <v>0</v>
      </c>
      <c r="D12" s="77" t="s">
        <v>31</v>
      </c>
      <c r="E12" s="76">
        <f>E11*(1+'8. Nøgletal'!C9)</f>
        <v>383312.25878396799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P/EWPa9q5LkVmoQJpOHwDYATLr5+XhATHaeo5OsEXQDqo86I6DKpuaBosM9BcllsDA1GLsUQFEbmmCMTAgse5g==" saltValue="XSJB7wLFItKqFZ0IudV52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73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26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74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132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133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117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/eJ3r9wlQLwQZv+CPmTKx6OHNZ3TSwFm3CyjeB51nCv+cax0PdTyjEh8wp+xI+pdtq4xndz+dCEvJ2ldshAcGQ==" saltValue="polsHzeMXXHLo0M341oKM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75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76</v>
      </c>
      <c r="C9" s="4">
        <v>6.6299999999999998E-2</v>
      </c>
      <c r="D9" s="16"/>
    </row>
    <row r="10" spans="1:4" ht="15" customHeight="1" x14ac:dyDescent="0.25">
      <c r="A10" s="9"/>
      <c r="B10" s="104" t="s">
        <v>118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77</v>
      </c>
      <c r="C13" s="20"/>
      <c r="D13" s="9"/>
    </row>
    <row r="14" spans="1:4" ht="15" customHeight="1" x14ac:dyDescent="0.25">
      <c r="A14" s="9"/>
      <c r="B14" s="104" t="s">
        <v>78</v>
      </c>
      <c r="C14" s="5">
        <v>0</v>
      </c>
      <c r="D14" s="16"/>
    </row>
    <row r="15" spans="1:4" ht="15" customHeight="1" x14ac:dyDescent="0.25">
      <c r="A15" s="9"/>
      <c r="B15" s="104" t="s">
        <v>119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79</v>
      </c>
      <c r="C18" s="20"/>
      <c r="D18" s="9"/>
    </row>
    <row r="19" spans="1:4" ht="15" customHeight="1" x14ac:dyDescent="0.25">
      <c r="A19" s="9"/>
      <c r="B19" s="80" t="s">
        <v>80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17" t="s">
        <v>35</v>
      </c>
      <c r="C22" s="119"/>
      <c r="D22" s="9"/>
    </row>
    <row r="23" spans="1:4" ht="15" customHeight="1" x14ac:dyDescent="0.25">
      <c r="A23" s="9"/>
      <c r="B23" s="37" t="s">
        <v>81</v>
      </c>
      <c r="C23" s="8">
        <v>5.60522961064552E-3</v>
      </c>
      <c r="D23" s="16"/>
    </row>
    <row r="24" spans="1:4" ht="15" customHeight="1" x14ac:dyDescent="0.25">
      <c r="A24" s="9"/>
      <c r="B24" s="37" t="s">
        <v>120</v>
      </c>
      <c r="C24" s="8">
        <v>1.1620140518429233E-2</v>
      </c>
      <c r="D24" s="16"/>
    </row>
    <row r="25" spans="1:4" ht="15" customHeight="1" x14ac:dyDescent="0.25">
      <c r="A25" s="9"/>
      <c r="B25" s="117"/>
      <c r="C25" s="119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CQfJ63NSq41faET8wkesYsbXksHa/cWn6izXlyESx0GLnS9YrzSvau4BvieevmvTpq0fuFoRphKr4mj/LD0lHw==" saltValue="1yCqJGP5s5BdX13Gxr7jr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2026-09-23T08:29:51Z</dcterms:modified>
</cp:coreProperties>
</file>