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erning Rens AS (S03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4" i="19" l="1"/>
  <c r="E34" i="27" l="1"/>
  <c r="C21" i="23"/>
  <c r="C21" i="22"/>
  <c r="C22" i="15"/>
  <c r="C38" i="2"/>
  <c r="G18" i="41" l="1"/>
  <c r="E26" i="32" l="1"/>
  <c r="E30" i="32" l="1"/>
  <c r="C36" i="2" s="1"/>
  <c r="E34" i="32"/>
  <c r="E36" i="32" s="1"/>
  <c r="F10" i="11"/>
  <c r="C19" i="23" l="1"/>
  <c r="C19" i="22"/>
  <c r="C20" i="15"/>
  <c r="J11" i="11" l="1"/>
  <c r="H11" i="11"/>
  <c r="C15" i="19" l="1"/>
  <c r="C15" i="23" l="1"/>
  <c r="C15" i="22"/>
  <c r="C16" i="15"/>
  <c r="C24" i="2"/>
  <c r="G34" i="30"/>
  <c r="C11" i="2"/>
  <c r="C10" i="2"/>
  <c r="C10" i="37" l="1"/>
  <c r="C12" i="37" s="1"/>
  <c r="G7" i="30" l="1"/>
  <c r="G11" i="30" s="1"/>
  <c r="E10" i="39" l="1"/>
  <c r="E11" i="39" s="1"/>
  <c r="C10" i="39"/>
  <c r="C11" i="39" s="1"/>
  <c r="E16" i="27" l="1"/>
  <c r="E30" i="20" l="1"/>
  <c r="E29" i="20"/>
  <c r="E17" i="20"/>
  <c r="E11" i="20"/>
  <c r="E31" i="20" l="1"/>
  <c r="C17" i="23" s="1"/>
  <c r="C29" i="2"/>
  <c r="C28" i="2"/>
  <c r="C31" i="2" l="1"/>
  <c r="C30" i="2"/>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2"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3" i="37" l="1"/>
  <c r="C12" i="2" s="1"/>
  <c r="E11" i="29"/>
  <c r="E12" i="29" s="1"/>
  <c r="C11" i="29"/>
  <c r="C12" i="29" s="1"/>
  <c r="C17" i="2" l="1"/>
  <c r="C16" i="2"/>
  <c r="G47" i="30" s="1"/>
  <c r="G42" i="30" l="1"/>
  <c r="E13"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<sst xmlns="http://schemas.openxmlformats.org/spreadsheetml/2006/main" count="627" uniqueCount="294">
  <si>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</si>
  <si>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</si>
  <si>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</si>
  <si>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</si>
  <si>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</si>
  <si>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</si>
  <si>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</si>
  <si>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</si>
  <si>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</si>
  <si>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</si>
  <si>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</si>
  <si>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</si>
  <si>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</si>
  <si>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</si>
  <si>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</si>
  <si>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</si>
  <si>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</si>
  <si>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</si>
  <si>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</si>
  <si>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</si>
  <si>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</si>
  <si>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</si>
  <si>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</si>
  <si>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</si>
  <si>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</si>
  <si>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</si>
  <si>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</si>
  <si>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</si>
  <si>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</si>
  <si>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</si>
  <si>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</si>
  <si>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</si>
  <si>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</si>
  <si>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</si>
  <si>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</si>
  <si>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</si>
  <si>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</si>
  <si>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</si>
  <si>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</si>
  <si>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</si>
  <si>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</si>
  <si>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</si>
  <si>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</si>
  <si>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</si>
  <si>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</si>
  <si>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</si>
  <si>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</si>
  <si>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</si>
  <si>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</si>
  <si>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</si>
  <si>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</si>
  <si>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</si>
  <si>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</si>
  <si>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</si>
  <si>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</si>
  <si>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</si>
  <si>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</si>
  <si>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</si>
  <si>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</si>
  <si>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</si>
  <si>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</si>
  <si>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</si>
  <si>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</si>
  <si>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</si>
  <si>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</si>
  <si>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</si>
  <si>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</si>
  <si>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</si>
  <si>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</si>
  <si>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</si>
  <si>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</si>
  <si>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</si>
  <si>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</si>
  <si>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</si>
  <si>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</si>
  <si>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</si>
  <si>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</si>
  <si>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</si>
  <si>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</si>
  <si>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</si>
  <si>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</si>
  <si>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</si>
  <si>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</si>
  <si>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</si>
  <si>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</si>
  <si>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</si>
  <si>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</si>
  <si>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</si>
  <si>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</si>
  <si>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</si>
  <si>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</si>
  <si>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</si>
  <si>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</si>
  <si>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</si>
  <si>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</si>
  <si>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</si>
  <si>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</si>
  <si>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</si>
  <si>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</si>
  <si>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</si>
  <si>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</si>
  <si>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</si>
  <si>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</si>
  <si>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</si>
  <si>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</si>
  <si>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</si>
  <si>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</si>
  <si>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</si>
  <si>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</si>
  <si>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</si>
  <si>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</si>
  <si>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</si>
  <si>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</si>
  <si>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</si>
  <si>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</si>
  <si>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</si>
  <si>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</si>
  <si>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</si>
  <si>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</si>
  <si>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</si>
  <si>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</si>
  <si>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</si>
  <si>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</si>
  <si>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</si>
  <si>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</si>
  <si>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</si>
  <si>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</si>
  <si>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</si>
  <si>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</si>
  <si>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</si>
  <si>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</si>
  <si>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</si>
  <si>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</si>
  <si>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</si>
  <si>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</si>
  <si>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</si>
  <si>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</si>
  <si>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</si>
  <si>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</si>
  <si>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</si>
  <si>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</si>
  <si>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</si>
  <si>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</si>
  <si>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</si>
  <si>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</si>
  <si>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</si>
  <si>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</si>
  <si>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</si>
  <si>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</si>
  <si>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</si>
  <si>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</si>
  <si>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</si>
  <si>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</si>
  <si>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</si>
  <si>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</si>
  <si>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</si>
  <si>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</si>
  <si>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</si>
  <si>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</si>
  <si>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</si>
  <si>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</si>
  <si>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</si>
  <si>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</si>
  <si>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</si>
  <si>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</si>
  <si>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</si>
  <si>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</si>
  <si>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</si>
  <si>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</si>
  <si>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</si>
  <si>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</si>
  <si>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</si>
  <si>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</si>
  <si>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</si>
  <si>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</si>
  <si>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</si>
  <si>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</si>
  <si>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</si>
  <si>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</si>
  <si>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</si>
  <si>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</si>
  <si>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</si>
  <si>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</si>
  <si>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</si>
  <si>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</si>
  <si>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Allerede indregnet fradrag i jeres økonomiske rammer</t>
  </si>
  <si>
    <t>Indregnet fradrag i økonomisk ramme for 2023</t>
  </si>
  <si>
    <t xml:space="preserve">Note: Opgørelsen af over/underækningen er taget fra jeres tidligere fremsendte økonomiske rammer og statusmeddelelser. I kan derfor ikke komme med høringssvar til denne opgørelse. </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</si>
  <si>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</si>
  <si>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</si>
  <si>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</si>
  <si>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</si>
  <si>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</si>
  <si>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</si>
  <si>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</si>
  <si>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</si>
  <si>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</si>
  <si>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</si>
  <si>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</si>
  <si>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</si>
  <si>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</si>
  <si>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</si>
  <si>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</si>
  <si>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</si>
  <si>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</si>
  <si>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</si>
  <si>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</si>
  <si>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</si>
  <si>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</si>
  <si>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</si>
  <si>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</si>
  <si>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</si>
  <si>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</si>
  <si>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</si>
  <si>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</si>
  <si>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</si>
  <si>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</si>
  <si>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</si>
  <si>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</si>
  <si>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</si>
  <si>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</si>
  <si>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</si>
  <si>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</si>
  <si>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</si>
  <si>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</si>
  <si>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</si>
  <si>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</si>
  <si>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</si>
  <si>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</si>
  <si>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</si>
  <si>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</si>
  <si>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</si>
  <si>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</si>
  <si>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</si>
  <si>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</si>
  <si>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</si>
  <si>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</si>
  <si>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</si>
  <si>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</si>
  <si>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</si>
  <si>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</si>
  <si>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</si>
  <si>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</si>
  <si>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</si>
  <si>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</si>
  <si>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</si>
  <si>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</si>
  <si>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</si>
  <si>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</si>
  <si>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</si>
  <si>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</si>
  <si>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</si>
  <si>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</si>
  <si>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</si>
  <si>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</si>
  <si>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</si>
  <si>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</si>
  <si>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</si>
  <si>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</si>
  <si>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</si>
  <si>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</si>
  <si>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</si>
  <si>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</si>
  <si>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</si>
  <si>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</si>
  <si>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</si>
  <si>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</si>
  <si>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</si>
  <si>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</si>
  <si>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</si>
  <si>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</si>
  <si>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</si>
  <si>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 modregninger af over/underdækninger fra tideligere år.</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</si>
  <si>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</si>
  <si>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</si>
  <si>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</si>
  <si>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</si>
  <si>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</si>
  <si>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</si>
  <si>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</si>
  <si>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</si>
  <si>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Ingen anlægsprojekter</t>
  </si>
  <si>
    <t>Nye tillæg</t>
  </si>
  <si>
    <t>Ingen engangstillæg</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</si>
  <si>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</si>
  <si>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</si>
  <si>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</si>
  <si>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</si>
  <si>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</si>
  <si>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</si>
  <si>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</si>
  <si>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</si>
  <si>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</si>
  <si>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Nedlæggelse af tre renseanlæg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</si>
</sst>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10" fontId="0" fillId="0" borderId="7" xfId="4" applyNumberFormat="1" applyFont="1" applyBorder="1" applyProtection="1"/>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1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4" t="s">
        <v>231</v>
      </c>
      <c r="E8" s="104"/>
      <c r="F8" s="104"/>
      <c r="G8" s="10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1"/>
      <c r="I12" s="1"/>
    </row>
    <row r="13" spans="1:9" x14ac:dyDescent="0.25">
      <c r="A13" s="1"/>
      <c r="B13" s="1"/>
      <c r="C13" s="6" t="s">
        <v>6</v>
      </c>
      <c r="D13" s="105" t="s">
        <v>134</v>
      </c>
      <c r="E13" s="106"/>
      <c r="F13" s="106"/>
      <c r="G13" s="107"/>
      <c r="H13" s="1"/>
      <c r="I13" s="1"/>
    </row>
    <row r="14" spans="1:9" x14ac:dyDescent="0.25">
      <c r="A14" s="1"/>
      <c r="B14" s="1"/>
      <c r="C14" s="6" t="s">
        <v>16</v>
      </c>
      <c r="D14" s="105" t="s">
        <v>234</v>
      </c>
      <c r="E14" s="106"/>
      <c r="F14" s="106"/>
      <c r="G14" s="107"/>
      <c r="H14" s="1"/>
      <c r="I14" s="1"/>
    </row>
    <row r="15" spans="1:9" x14ac:dyDescent="0.25">
      <c r="A15" s="1"/>
      <c r="B15" s="1"/>
      <c r="C15" s="6" t="s">
        <v>34</v>
      </c>
      <c r="D15" s="105" t="s">
        <v>135</v>
      </c>
      <c r="E15" s="106"/>
      <c r="F15" s="106"/>
      <c r="G15" s="107"/>
      <c r="H15" s="1"/>
      <c r="I15" s="1"/>
    </row>
    <row r="16" spans="1:9" x14ac:dyDescent="0.25">
      <c r="A16" s="1"/>
      <c r="B16" s="1"/>
      <c r="C16" s="6" t="s">
        <v>35</v>
      </c>
      <c r="D16" s="105" t="s">
        <v>190</v>
      </c>
      <c r="E16" s="106"/>
      <c r="F16" s="106"/>
      <c r="G16" s="107"/>
      <c r="H16" s="1"/>
      <c r="I16" s="1"/>
    </row>
    <row r="17" spans="1:9" x14ac:dyDescent="0.25">
      <c r="A17" s="1"/>
      <c r="B17" s="1"/>
      <c r="C17" s="6" t="s">
        <v>109</v>
      </c>
      <c r="D17" s="105" t="s">
        <v>191</v>
      </c>
      <c r="E17" s="106"/>
      <c r="F17" s="106"/>
      <c r="G17" s="107"/>
      <c r="H17" s="1"/>
      <c r="I17" s="1"/>
    </row>
    <row r="18" spans="1:9" x14ac:dyDescent="0.25">
      <c r="A18" s="1"/>
      <c r="B18" s="1"/>
      <c r="C18" s="6" t="s">
        <v>94</v>
      </c>
      <c r="D18" s="108" t="s">
        <v>83</v>
      </c>
      <c r="E18" s="109"/>
      <c r="F18" s="109"/>
      <c r="G18" s="110"/>
      <c r="H18" s="1"/>
      <c r="I18" s="1"/>
    </row>
    <row r="19" spans="1:9" x14ac:dyDescent="0.25">
      <c r="A19" s="1"/>
      <c r="B19" s="1"/>
      <c r="C19" s="6" t="s">
        <v>95</v>
      </c>
      <c r="D19" s="108" t="s">
        <v>84</v>
      </c>
      <c r="E19" s="109"/>
      <c r="F19" s="109"/>
      <c r="G19" s="110"/>
      <c r="H19" s="1"/>
      <c r="I19" s="1"/>
    </row>
    <row r="20" spans="1:9" x14ac:dyDescent="0.25">
      <c r="A20" s="1"/>
      <c r="B20" s="1"/>
      <c r="C20" s="6" t="s">
        <v>7</v>
      </c>
      <c r="D20" s="108" t="s">
        <v>10</v>
      </c>
      <c r="E20" s="109"/>
      <c r="F20" s="109"/>
      <c r="G20" s="110"/>
      <c r="H20" s="1"/>
      <c r="I20" s="1"/>
    </row>
    <row r="21" spans="1:9" x14ac:dyDescent="0.25">
      <c r="A21" s="1"/>
      <c r="B21" s="1"/>
      <c r="C21" s="6" t="s">
        <v>96</v>
      </c>
      <c r="D21" s="114" t="s">
        <v>12</v>
      </c>
      <c r="E21" s="115"/>
      <c r="F21" s="115"/>
      <c r="G21" s="116"/>
      <c r="H21" s="1"/>
      <c r="I21" s="1"/>
    </row>
    <row r="22" spans="1:9" x14ac:dyDescent="0.25">
      <c r="A22" s="1"/>
      <c r="B22" s="1"/>
      <c r="C22" s="6" t="s">
        <v>71</v>
      </c>
      <c r="D22" s="100" t="s">
        <v>192</v>
      </c>
      <c r="E22" s="101"/>
      <c r="F22" s="101"/>
      <c r="G22" s="102"/>
      <c r="H22" s="1"/>
      <c r="I22" s="1"/>
    </row>
    <row r="23" spans="1:9" x14ac:dyDescent="0.25">
      <c r="A23" s="1"/>
      <c r="B23" s="1"/>
      <c r="C23" s="6" t="s">
        <v>8</v>
      </c>
      <c r="D23" s="100" t="s">
        <v>250</v>
      </c>
      <c r="E23" s="101"/>
      <c r="F23" s="101"/>
      <c r="G23" s="102"/>
      <c r="H23" s="1"/>
      <c r="I23" s="1"/>
    </row>
    <row r="24" spans="1:9" x14ac:dyDescent="0.25">
      <c r="A24" s="1"/>
      <c r="B24" s="1"/>
      <c r="C24" s="6" t="s">
        <v>9</v>
      </c>
      <c r="D24" s="100" t="s">
        <v>193</v>
      </c>
      <c r="E24" s="101"/>
      <c r="F24" s="101"/>
      <c r="G24" s="102"/>
      <c r="H24" s="1"/>
      <c r="I24" s="1"/>
    </row>
    <row r="25" spans="1:9" x14ac:dyDescent="0.25">
      <c r="A25" s="1"/>
      <c r="B25" s="1"/>
      <c r="C25" s="6" t="s">
        <v>263</v>
      </c>
      <c r="D25" s="100" t="s">
        <v>245</v>
      </c>
      <c r="E25" s="101"/>
      <c r="F25" s="101"/>
      <c r="G25" s="102"/>
      <c r="H25" s="1"/>
      <c r="I25" s="1"/>
    </row>
    <row r="26" spans="1:9" x14ac:dyDescent="0.25">
      <c r="A26" s="1"/>
      <c r="B26" s="1"/>
      <c r="C26" s="6" t="s">
        <v>264</v>
      </c>
      <c r="D26" s="100" t="s">
        <v>72</v>
      </c>
      <c r="E26" s="101"/>
      <c r="F26" s="101"/>
      <c r="G26" s="102"/>
      <c r="H26" s="1"/>
      <c r="I26" s="1"/>
    </row>
    <row r="27" spans="1:9" x14ac:dyDescent="0.25">
      <c r="A27" s="1"/>
      <c r="B27" s="1"/>
      <c r="C27" s="6" t="s">
        <v>265</v>
      </c>
      <c r="D27" s="100" t="s">
        <v>73</v>
      </c>
      <c r="E27" s="101"/>
      <c r="F27" s="101"/>
      <c r="G27" s="102"/>
      <c r="H27" s="1"/>
      <c r="I27" s="1"/>
    </row>
    <row r="28" spans="1:9" x14ac:dyDescent="0.25">
      <c r="A28" s="1"/>
      <c r="B28" s="1"/>
      <c r="C28" s="6" t="s">
        <v>15</v>
      </c>
      <c r="D28" s="100" t="s">
        <v>74</v>
      </c>
      <c r="E28" s="101"/>
      <c r="F28" s="101"/>
      <c r="G28" s="102"/>
      <c r="H28" s="1"/>
      <c r="I28" s="1"/>
    </row>
    <row r="29" spans="1:9" x14ac:dyDescent="0.25">
      <c r="A29" s="1"/>
      <c r="B29" s="1"/>
      <c r="C29" s="6" t="s">
        <v>37</v>
      </c>
      <c r="D29" s="100" t="s">
        <v>112</v>
      </c>
      <c r="E29" s="101"/>
      <c r="F29" s="101"/>
      <c r="G29" s="102"/>
      <c r="H29" s="1"/>
      <c r="I29" s="1"/>
    </row>
    <row r="30" spans="1:9" x14ac:dyDescent="0.25">
      <c r="A30" s="1"/>
      <c r="B30" s="1"/>
      <c r="C30" s="6" t="s">
        <v>38</v>
      </c>
      <c r="D30" s="100" t="s">
        <v>36</v>
      </c>
      <c r="E30" s="101"/>
      <c r="F30" s="101"/>
      <c r="G30" s="102"/>
      <c r="H30" s="1"/>
      <c r="I30" s="1"/>
    </row>
    <row r="31" spans="1:9" x14ac:dyDescent="0.25">
      <c r="A31" s="1"/>
      <c r="B31" s="1"/>
      <c r="C31" s="6" t="s">
        <v>266</v>
      </c>
      <c r="D31" s="111" t="s">
        <v>92</v>
      </c>
      <c r="E31" s="112"/>
      <c r="F31" s="112"/>
      <c r="G31" s="11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qEilgFBolRuENiUvQQLI/eaArZSjOqDqyafEsCdhyzI/dyPA3qcP+ez1AagBYZWrez/VwEa9PpqPdThNxNK4MA==" saltValue="WdJaWPUP4oMnDSa27qOkTQ=="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209</v>
      </c>
      <c r="C8" s="151"/>
      <c r="D8" s="153"/>
      <c r="E8" s="1"/>
      <c r="F8" s="1"/>
    </row>
    <row r="9" spans="1:6" ht="15" customHeight="1" x14ac:dyDescent="0.25">
      <c r="A9" s="1"/>
      <c r="B9" s="35" t="s">
        <v>32</v>
      </c>
      <c r="C9" s="11" t="s">
        <v>246</v>
      </c>
      <c r="D9" s="11"/>
      <c r="E9" s="1"/>
      <c r="F9" s="1"/>
    </row>
    <row r="10" spans="1:6" ht="15" customHeight="1" x14ac:dyDescent="0.25">
      <c r="A10" s="1"/>
      <c r="B10" s="78" t="s">
        <v>277</v>
      </c>
      <c r="C10" s="9">
        <v>3303286</v>
      </c>
      <c r="D10" s="14" t="s">
        <v>3</v>
      </c>
      <c r="E10" s="1"/>
      <c r="F10" s="1"/>
    </row>
    <row r="11" spans="1:6" x14ac:dyDescent="0.25">
      <c r="A11" s="1"/>
      <c r="B11" s="78" t="s">
        <v>278</v>
      </c>
      <c r="C11" s="9">
        <v>166428</v>
      </c>
      <c r="D11" s="14" t="s">
        <v>3</v>
      </c>
      <c r="E11" s="1"/>
      <c r="F11" s="1"/>
    </row>
    <row r="12" spans="1:6" x14ac:dyDescent="0.25">
      <c r="A12" s="1"/>
      <c r="B12" s="78" t="s">
        <v>279</v>
      </c>
      <c r="C12" s="9">
        <v>500909</v>
      </c>
      <c r="D12" s="14" t="s">
        <v>3</v>
      </c>
      <c r="E12" s="1"/>
      <c r="F12" s="1"/>
    </row>
    <row r="13" spans="1:6" x14ac:dyDescent="0.25">
      <c r="A13" s="1"/>
      <c r="B13" s="78" t="s">
        <v>280</v>
      </c>
      <c r="C13" s="9">
        <v>166100</v>
      </c>
      <c r="D13" s="14" t="s">
        <v>3</v>
      </c>
      <c r="E13" s="1"/>
      <c r="F13" s="1"/>
    </row>
    <row r="14" spans="1:6" x14ac:dyDescent="0.25">
      <c r="A14" s="1"/>
      <c r="B14" s="32" t="s">
        <v>210</v>
      </c>
      <c r="C14" s="12">
        <f>SUM(C10:C13)</f>
        <v>4136723</v>
      </c>
      <c r="D14" s="13" t="s">
        <v>3</v>
      </c>
      <c r="E14" s="1"/>
      <c r="F14" s="1"/>
    </row>
    <row r="15" spans="1:6" x14ac:dyDescent="0.25">
      <c r="A15" s="1"/>
      <c r="B15" s="32" t="s">
        <v>211</v>
      </c>
      <c r="C15" s="12">
        <f>C14*(1+'Fane 15. Nøgletal'!C15)^2</f>
        <v>4436500.39486128</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50" t="s">
        <v>105</v>
      </c>
      <c r="C18" s="151"/>
      <c r="D18" s="153"/>
      <c r="E18" s="1"/>
      <c r="F18" s="1"/>
    </row>
    <row r="19" spans="1:6" x14ac:dyDescent="0.25">
      <c r="A19" s="1"/>
      <c r="B19" s="78" t="s">
        <v>267</v>
      </c>
      <c r="C19" s="9">
        <v>0</v>
      </c>
      <c r="D19" s="14" t="s">
        <v>3</v>
      </c>
      <c r="E19" s="1"/>
      <c r="F19" s="1"/>
    </row>
    <row r="20" spans="1:6" x14ac:dyDescent="0.25">
      <c r="A20" s="1"/>
      <c r="B20" s="78" t="s">
        <v>268</v>
      </c>
      <c r="C20" s="9">
        <v>0</v>
      </c>
      <c r="D20" s="14" t="s">
        <v>3</v>
      </c>
      <c r="E20" s="1"/>
      <c r="F20" s="1"/>
    </row>
    <row r="21" spans="1:6" x14ac:dyDescent="0.25">
      <c r="A21" s="1"/>
      <c r="B21" s="78" t="s">
        <v>269</v>
      </c>
      <c r="C21" s="9">
        <v>0</v>
      </c>
      <c r="D21" s="14" t="s">
        <v>3</v>
      </c>
      <c r="E21" s="1"/>
      <c r="F21" s="1"/>
    </row>
    <row r="22" spans="1:6" x14ac:dyDescent="0.25">
      <c r="A22" s="1"/>
      <c r="B22" s="28" t="s">
        <v>270</v>
      </c>
      <c r="C22" s="9">
        <v>0</v>
      </c>
      <c r="D22" s="14" t="s">
        <v>3</v>
      </c>
      <c r="E22" s="1"/>
      <c r="F22" s="1"/>
    </row>
    <row r="23" spans="1:6" x14ac:dyDescent="0.25">
      <c r="A23" s="1"/>
      <c r="B23" s="150"/>
      <c r="C23" s="151"/>
      <c r="D23" s="153"/>
      <c r="E23" s="1"/>
      <c r="F23" s="1"/>
    </row>
    <row r="24" spans="1:6" x14ac:dyDescent="0.25">
      <c r="A24" s="1"/>
      <c r="B24" s="1"/>
      <c r="C24" s="1"/>
      <c r="D24" s="1"/>
      <c r="E24" s="1"/>
      <c r="F24" s="1"/>
    </row>
    <row r="25" spans="1:6" x14ac:dyDescent="0.25">
      <c r="A25" s="1"/>
      <c r="B25" s="1"/>
      <c r="C25" s="1"/>
      <c r="D25" s="1"/>
      <c r="E25" s="1"/>
      <c r="F25" s="1"/>
    </row>
    <row r="26" spans="1:6" x14ac:dyDescent="0.25">
      <c r="A26" s="1"/>
      <c r="B26" s="150" t="s">
        <v>86</v>
      </c>
      <c r="C26" s="151"/>
      <c r="D26" s="153"/>
      <c r="E26" s="1"/>
      <c r="F26" s="1"/>
    </row>
    <row r="27" spans="1:6" x14ac:dyDescent="0.25">
      <c r="A27" s="1"/>
      <c r="B27" s="78" t="s">
        <v>267</v>
      </c>
      <c r="C27" s="9">
        <v>0</v>
      </c>
      <c r="D27" s="14" t="s">
        <v>3</v>
      </c>
      <c r="E27" s="1"/>
      <c r="F27" s="1"/>
    </row>
    <row r="28" spans="1:6" x14ac:dyDescent="0.25">
      <c r="A28" s="1"/>
      <c r="B28" s="78" t="s">
        <v>268</v>
      </c>
      <c r="C28" s="9">
        <v>0</v>
      </c>
      <c r="D28" s="14" t="s">
        <v>3</v>
      </c>
      <c r="E28" s="1"/>
      <c r="F28" s="1"/>
    </row>
    <row r="29" spans="1:6" x14ac:dyDescent="0.25">
      <c r="A29" s="1"/>
      <c r="B29" s="78" t="s">
        <v>269</v>
      </c>
      <c r="C29" s="9">
        <v>0</v>
      </c>
      <c r="D29" s="14" t="s">
        <v>3</v>
      </c>
      <c r="E29" s="1"/>
      <c r="F29" s="1"/>
    </row>
    <row r="30" spans="1:6" x14ac:dyDescent="0.25">
      <c r="A30" s="1"/>
      <c r="B30" s="28" t="s">
        <v>270</v>
      </c>
      <c r="C30" s="9">
        <v>0</v>
      </c>
      <c r="D30" s="14" t="s">
        <v>3</v>
      </c>
      <c r="E30" s="1"/>
      <c r="F30" s="1"/>
    </row>
    <row r="31" spans="1:6" x14ac:dyDescent="0.25">
      <c r="A31" s="1"/>
      <c r="B31" s="150"/>
      <c r="C31" s="151"/>
      <c r="D31" s="15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1SgNK0uZG8ruATYqp1+jTB83AG77f2I6Vk0SwCu6I1uGqTE7ndR+7sqBgLRAkFb8JFvDzfEoHHtNC/vvW/aR/w==" saltValue="9fVLCJzIxKjUhKphvVk7Jg=="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0"/>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212</v>
      </c>
      <c r="C3" s="122"/>
      <c r="D3" s="122"/>
      <c r="E3" s="122"/>
      <c r="F3" s="122"/>
      <c r="G3" s="1"/>
    </row>
    <row r="4" spans="1:7" ht="15" customHeight="1" x14ac:dyDescent="0.25">
      <c r="A4" s="1"/>
      <c r="B4" s="122"/>
      <c r="C4" s="122"/>
      <c r="D4" s="122"/>
      <c r="E4" s="122"/>
      <c r="F4" s="122"/>
      <c r="G4" s="1"/>
    </row>
    <row r="5" spans="1:7" ht="15" customHeight="1" x14ac:dyDescent="0.25">
      <c r="A5" s="1"/>
      <c r="B5" s="63"/>
      <c r="C5" s="63"/>
      <c r="D5" s="63"/>
      <c r="E5" s="63"/>
      <c r="F5" s="63"/>
      <c r="G5" s="1"/>
    </row>
    <row r="6" spans="1:7" ht="15" customHeight="1" x14ac:dyDescent="0.25">
      <c r="A6" s="1"/>
      <c r="B6" s="63"/>
      <c r="C6" s="63"/>
      <c r="D6" s="63"/>
      <c r="E6" s="63"/>
      <c r="F6" s="63"/>
      <c r="G6" s="1"/>
    </row>
    <row r="7" spans="1:7" ht="13.5" customHeight="1" x14ac:dyDescent="0.25">
      <c r="A7" s="1"/>
      <c r="B7" s="1"/>
      <c r="C7" s="1"/>
      <c r="D7" s="1"/>
      <c r="E7" s="1"/>
      <c r="F7" s="1"/>
      <c r="G7" s="1"/>
    </row>
    <row r="8" spans="1:7" x14ac:dyDescent="0.25">
      <c r="A8" s="1"/>
      <c r="B8" s="150" t="s">
        <v>182</v>
      </c>
      <c r="C8" s="151"/>
      <c r="D8" s="151"/>
      <c r="E8" s="151"/>
      <c r="F8" s="153"/>
      <c r="G8" s="1"/>
    </row>
    <row r="9" spans="1:7" x14ac:dyDescent="0.25">
      <c r="A9" s="1"/>
      <c r="B9" s="144" t="s">
        <v>183</v>
      </c>
      <c r="C9" s="145"/>
      <c r="D9" s="146"/>
      <c r="E9" s="9">
        <v>15461725.357024144</v>
      </c>
      <c r="F9" s="14" t="s">
        <v>3</v>
      </c>
      <c r="G9" s="1"/>
    </row>
    <row r="10" spans="1:7" x14ac:dyDescent="0.25">
      <c r="A10" s="1"/>
      <c r="B10" s="144" t="s">
        <v>184</v>
      </c>
      <c r="C10" s="145"/>
      <c r="D10" s="146"/>
      <c r="E10" s="9">
        <v>10222311</v>
      </c>
      <c r="F10" s="14" t="s">
        <v>3</v>
      </c>
      <c r="G10" s="1"/>
    </row>
    <row r="11" spans="1:7" x14ac:dyDescent="0.25">
      <c r="A11" s="1"/>
      <c r="B11" s="144" t="s">
        <v>213</v>
      </c>
      <c r="C11" s="145"/>
      <c r="D11" s="146"/>
      <c r="E11" s="9">
        <v>6948542.1173061132</v>
      </c>
      <c r="F11" s="14" t="s">
        <v>3</v>
      </c>
      <c r="G11" s="1"/>
    </row>
    <row r="12" spans="1:7" x14ac:dyDescent="0.25">
      <c r="A12" s="1"/>
      <c r="B12" s="144" t="s">
        <v>271</v>
      </c>
      <c r="C12" s="145"/>
      <c r="D12" s="146"/>
      <c r="E12" s="9">
        <v>32632578.474330258</v>
      </c>
      <c r="F12" s="14" t="s">
        <v>3</v>
      </c>
      <c r="G12" s="1"/>
    </row>
    <row r="13" spans="1:7" x14ac:dyDescent="0.25">
      <c r="A13" s="1"/>
      <c r="B13" s="32"/>
      <c r="C13" s="33"/>
      <c r="D13" s="33"/>
      <c r="E13" s="33"/>
      <c r="F13" s="20"/>
      <c r="G13" s="1"/>
    </row>
    <row r="14" spans="1:7" ht="75.75" customHeight="1" x14ac:dyDescent="0.25">
      <c r="A14" s="1"/>
      <c r="B14" s="132" t="s">
        <v>272</v>
      </c>
      <c r="C14" s="133"/>
      <c r="D14" s="133"/>
      <c r="E14" s="133"/>
      <c r="F14" s="134"/>
      <c r="G14" s="1"/>
    </row>
    <row r="15" spans="1:7" ht="24" customHeight="1" x14ac:dyDescent="0.25">
      <c r="A15" s="1"/>
      <c r="B15" s="1"/>
      <c r="C15" s="1"/>
      <c r="D15" s="1"/>
      <c r="E15" s="1"/>
      <c r="F15" s="1"/>
      <c r="G15" s="1"/>
    </row>
    <row r="16" spans="1:7" ht="28.5" customHeight="1" x14ac:dyDescent="0.25">
      <c r="A16" s="1"/>
      <c r="B16" s="150" t="s">
        <v>185</v>
      </c>
      <c r="C16" s="151"/>
      <c r="D16" s="151"/>
      <c r="E16" s="151"/>
      <c r="F16" s="153"/>
      <c r="G16" s="1"/>
    </row>
    <row r="17" spans="1:7" x14ac:dyDescent="0.25">
      <c r="A17" s="1"/>
      <c r="B17" s="144" t="s">
        <v>273</v>
      </c>
      <c r="C17" s="145"/>
      <c r="D17" s="146"/>
      <c r="E17" s="9">
        <v>0</v>
      </c>
      <c r="F17" s="14" t="s">
        <v>3</v>
      </c>
      <c r="G17" s="1"/>
    </row>
    <row r="18" spans="1:7" x14ac:dyDescent="0.25">
      <c r="A18" s="1"/>
      <c r="B18" s="144" t="s">
        <v>186</v>
      </c>
      <c r="C18" s="145"/>
      <c r="D18" s="146"/>
      <c r="E18" s="9">
        <v>0</v>
      </c>
      <c r="F18" s="14" t="s">
        <v>3</v>
      </c>
      <c r="G18" s="1"/>
    </row>
    <row r="19" spans="1:7" x14ac:dyDescent="0.25">
      <c r="A19" s="1"/>
      <c r="B19" s="32"/>
      <c r="C19" s="33"/>
      <c r="D19" s="33"/>
      <c r="E19" s="33"/>
      <c r="F19" s="20"/>
      <c r="G19" s="1"/>
    </row>
    <row r="20" spans="1:7" ht="31.5" customHeight="1" x14ac:dyDescent="0.25">
      <c r="A20" s="1"/>
      <c r="B20" s="132" t="s">
        <v>187</v>
      </c>
      <c r="C20" s="133"/>
      <c r="D20" s="133"/>
      <c r="E20" s="133"/>
      <c r="F20" s="134"/>
      <c r="G20" s="1"/>
    </row>
    <row r="21" spans="1:7" ht="26.25" customHeight="1" x14ac:dyDescent="0.25">
      <c r="A21" s="1"/>
      <c r="B21" s="1"/>
      <c r="C21" s="1"/>
      <c r="D21" s="1"/>
      <c r="E21" s="1"/>
      <c r="F21" s="1"/>
      <c r="G21" s="1"/>
    </row>
    <row r="22" spans="1:7" ht="28.5" customHeight="1" x14ac:dyDescent="0.25">
      <c r="A22" s="1"/>
      <c r="B22" s="75" t="s">
        <v>214</v>
      </c>
      <c r="C22" s="76"/>
      <c r="D22" s="76"/>
      <c r="E22" s="76"/>
      <c r="F22" s="77"/>
      <c r="G22" s="1"/>
    </row>
    <row r="23" spans="1:7" x14ac:dyDescent="0.25">
      <c r="A23" s="1"/>
      <c r="B23" s="72" t="s">
        <v>215</v>
      </c>
      <c r="C23" s="73"/>
      <c r="D23" s="74"/>
      <c r="E23" s="9">
        <v>43401407.170933045</v>
      </c>
      <c r="F23" s="14" t="s">
        <v>3</v>
      </c>
      <c r="G23" s="1"/>
    </row>
    <row r="24" spans="1:7" x14ac:dyDescent="0.25">
      <c r="A24" s="1"/>
      <c r="B24" s="72" t="s">
        <v>216</v>
      </c>
      <c r="C24" s="73"/>
      <c r="D24" s="74"/>
      <c r="E24" s="9">
        <v>52928449</v>
      </c>
      <c r="F24" s="14" t="s">
        <v>3</v>
      </c>
      <c r="G24" s="1"/>
    </row>
    <row r="25" spans="1:7" x14ac:dyDescent="0.25">
      <c r="A25" s="1"/>
      <c r="B25" s="72" t="s">
        <v>33</v>
      </c>
      <c r="C25" s="73"/>
      <c r="D25" s="74"/>
      <c r="E25" s="9">
        <v>0</v>
      </c>
      <c r="F25" s="14" t="s">
        <v>3</v>
      </c>
      <c r="G25" s="1"/>
    </row>
    <row r="26" spans="1:7" x14ac:dyDescent="0.25">
      <c r="A26" s="1"/>
      <c r="B26" s="69" t="s">
        <v>217</v>
      </c>
      <c r="C26" s="70"/>
      <c r="D26" s="71"/>
      <c r="E26" s="62">
        <f>E23-(E24-E25)</f>
        <v>-9527041.8290669546</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274</v>
      </c>
      <c r="C29" s="151"/>
      <c r="D29" s="151"/>
      <c r="E29" s="151"/>
      <c r="F29" s="153"/>
      <c r="G29" s="1"/>
    </row>
    <row r="30" spans="1:7" x14ac:dyDescent="0.25">
      <c r="A30" s="1"/>
      <c r="B30" s="141" t="s">
        <v>275</v>
      </c>
      <c r="C30" s="142"/>
      <c r="D30" s="143"/>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0</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276</v>
      </c>
      <c r="C33" s="151"/>
      <c r="D33" s="151"/>
      <c r="E33" s="151"/>
      <c r="F33" s="153"/>
      <c r="G33" s="1"/>
    </row>
    <row r="34" spans="1:7" x14ac:dyDescent="0.25">
      <c r="A34" s="1"/>
      <c r="B34" s="164" t="s">
        <v>131</v>
      </c>
      <c r="C34" s="165"/>
      <c r="D34" s="166"/>
      <c r="E34" s="9">
        <f>IF(AND(SUM(E9:E11)&gt;0,SUM(E9:E11,E26)&gt;0),0,IF(AND(SUM(E9:E11)&gt;0,SUM(E9:E11,E26)&lt;0),SUM(E9:E11,E26),IF(AND(SUM(E9:E11)&lt;0,E26&lt;0),E26,0)))</f>
        <v>0</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0</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B39" s="43"/>
      <c r="C39" s="43"/>
      <c r="D39" s="43"/>
      <c r="E39" s="43"/>
      <c r="F39" s="43"/>
    </row>
    <row r="40" spans="1:7" x14ac:dyDescent="0.25">
      <c r="A40" s="43"/>
      <c r="B40" s="43"/>
      <c r="C40" s="43"/>
      <c r="D40" s="43"/>
      <c r="E40" s="43"/>
      <c r="F40" s="43"/>
      <c r="G40" s="43"/>
    </row>
  </sheetData>
  <sheetProtection algorithmName="SHA-512" hashValue="wWTXE7XMGpiUJQghzYIJSncuXUPuqjlg/UoQBYGlh5/bEBrcOqJLyxzFaqlvutM2xRDU4PdeeuLuNvBXVQvc4A==" saltValue="Wv91m68i9vEOlzvMUNH8Zg=="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251</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252</v>
      </c>
      <c r="C8" s="151"/>
      <c r="D8" s="151"/>
      <c r="E8" s="151"/>
      <c r="F8" s="151"/>
      <c r="G8" s="151"/>
      <c r="H8" s="153"/>
      <c r="I8" s="1"/>
    </row>
    <row r="9" spans="1:9" ht="15" customHeight="1" x14ac:dyDescent="0.25">
      <c r="A9" s="1"/>
      <c r="B9" s="135" t="s">
        <v>253</v>
      </c>
      <c r="C9" s="136"/>
      <c r="D9" s="136"/>
      <c r="E9" s="136"/>
      <c r="F9" s="136"/>
      <c r="G9" s="136"/>
      <c r="H9" s="137"/>
      <c r="I9" s="1"/>
    </row>
    <row r="10" spans="1:9" x14ac:dyDescent="0.25">
      <c r="A10" s="1"/>
      <c r="B10" s="171" t="s">
        <v>285</v>
      </c>
      <c r="C10" s="172"/>
      <c r="D10" s="172"/>
      <c r="E10" s="172"/>
      <c r="F10" s="173"/>
      <c r="G10" s="44">
        <v>0</v>
      </c>
      <c r="H10" s="9" t="s">
        <v>3</v>
      </c>
      <c r="I10" s="1"/>
    </row>
    <row r="11" spans="1:9" x14ac:dyDescent="0.25">
      <c r="A11" s="1"/>
      <c r="B11" s="171" t="s">
        <v>286</v>
      </c>
      <c r="C11" s="172"/>
      <c r="D11" s="172"/>
      <c r="E11" s="172"/>
      <c r="F11" s="173"/>
      <c r="G11" s="44">
        <v>0</v>
      </c>
      <c r="H11" s="9" t="s">
        <v>3</v>
      </c>
      <c r="I11" s="1"/>
    </row>
    <row r="12" spans="1:9" x14ac:dyDescent="0.25">
      <c r="A12" s="1"/>
      <c r="B12" s="171" t="s">
        <v>287</v>
      </c>
      <c r="C12" s="172"/>
      <c r="D12" s="172"/>
      <c r="E12" s="172"/>
      <c r="F12" s="173"/>
      <c r="G12" s="9">
        <v>0</v>
      </c>
      <c r="H12" s="9" t="s">
        <v>3</v>
      </c>
      <c r="I12" s="1"/>
    </row>
    <row r="13" spans="1:9" x14ac:dyDescent="0.25">
      <c r="A13" s="1"/>
      <c r="B13" s="171" t="s">
        <v>288</v>
      </c>
      <c r="C13" s="172"/>
      <c r="D13" s="172"/>
      <c r="E13" s="172"/>
      <c r="F13" s="173"/>
      <c r="G13" s="9">
        <v>0</v>
      </c>
      <c r="H13" s="9" t="s">
        <v>3</v>
      </c>
      <c r="I13" s="1"/>
    </row>
    <row r="14" spans="1:9" x14ac:dyDescent="0.25">
      <c r="A14" s="1"/>
      <c r="B14" s="171" t="s">
        <v>289</v>
      </c>
      <c r="C14" s="172"/>
      <c r="D14" s="172"/>
      <c r="E14" s="172"/>
      <c r="F14" s="173"/>
      <c r="G14" s="9">
        <v>0</v>
      </c>
      <c r="H14" s="9" t="s">
        <v>3</v>
      </c>
      <c r="I14" s="1"/>
    </row>
    <row r="15" spans="1:9" x14ac:dyDescent="0.25">
      <c r="A15" s="1"/>
      <c r="B15" s="171" t="s">
        <v>290</v>
      </c>
      <c r="C15" s="172"/>
      <c r="D15" s="172"/>
      <c r="E15" s="172"/>
      <c r="F15" s="173"/>
      <c r="G15" s="9">
        <v>0</v>
      </c>
      <c r="H15" s="9" t="s">
        <v>3</v>
      </c>
      <c r="I15" s="1"/>
    </row>
    <row r="16" spans="1:9" x14ac:dyDescent="0.25">
      <c r="A16" s="1"/>
      <c r="B16" s="171" t="s">
        <v>291</v>
      </c>
      <c r="C16" s="172"/>
      <c r="D16" s="172"/>
      <c r="E16" s="172"/>
      <c r="F16" s="173"/>
      <c r="G16" s="9">
        <v>0</v>
      </c>
      <c r="H16" s="9" t="s">
        <v>3</v>
      </c>
      <c r="I16" s="1"/>
    </row>
    <row r="17" spans="1:9" x14ac:dyDescent="0.25">
      <c r="A17" s="1"/>
      <c r="B17" s="171" t="s">
        <v>292</v>
      </c>
      <c r="C17" s="172"/>
      <c r="D17" s="172"/>
      <c r="E17" s="172"/>
      <c r="F17" s="173"/>
      <c r="G17" s="9">
        <v>0</v>
      </c>
      <c r="H17" s="9" t="s">
        <v>3</v>
      </c>
      <c r="I17" s="1"/>
    </row>
    <row r="18" spans="1:9" x14ac:dyDescent="0.25">
      <c r="A18" s="1"/>
      <c r="B18" s="150" t="s">
        <v>254</v>
      </c>
      <c r="C18" s="151"/>
      <c r="D18" s="151"/>
      <c r="E18" s="151"/>
      <c r="F18" s="15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SvMhoRnoatIcnuRKawJ1de005zepQ75FjCeCorVg2QcZxj/Bjjvqs5Lq4m/NnFD8MV0QxU1EPpC5zMN7Z8a9Bg==" saltValue="0KTJbTBKTsR20EY2ULZ/f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255</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218</v>
      </c>
      <c r="C9" s="174"/>
      <c r="D9" s="174"/>
      <c r="E9" s="174"/>
      <c r="F9" s="174"/>
      <c r="G9" s="1"/>
    </row>
    <row r="10" spans="1:7" x14ac:dyDescent="0.25">
      <c r="A10" s="1"/>
      <c r="B10" s="132" t="s">
        <v>87</v>
      </c>
      <c r="C10" s="133"/>
      <c r="D10" s="134"/>
      <c r="E10" s="7">
        <v>0</v>
      </c>
      <c r="F10" s="8" t="s">
        <v>3</v>
      </c>
      <c r="G10" s="1"/>
    </row>
    <row r="11" spans="1:7" x14ac:dyDescent="0.25">
      <c r="A11" s="1"/>
      <c r="B11" s="144" t="s">
        <v>219</v>
      </c>
      <c r="C11" s="145"/>
      <c r="D11" s="146"/>
      <c r="E11" s="7">
        <v>0</v>
      </c>
      <c r="F11" s="8" t="s">
        <v>3</v>
      </c>
      <c r="G11" s="1"/>
    </row>
    <row r="12" spans="1:7" x14ac:dyDescent="0.25">
      <c r="A12" s="1"/>
      <c r="B12" s="141" t="s">
        <v>88</v>
      </c>
      <c r="C12" s="142"/>
      <c r="D12" s="143"/>
      <c r="E12" s="10">
        <f>E11-E10</f>
        <v>0</v>
      </c>
      <c r="F12" s="11" t="s">
        <v>3</v>
      </c>
      <c r="G12" s="1"/>
    </row>
    <row r="13" spans="1:7" x14ac:dyDescent="0.25">
      <c r="A13" s="1"/>
      <c r="B13" s="174" t="s">
        <v>82</v>
      </c>
      <c r="C13" s="174"/>
      <c r="D13" s="174"/>
      <c r="E13" s="174"/>
      <c r="F13" s="174"/>
      <c r="G13" s="1"/>
    </row>
    <row r="14" spans="1:7" x14ac:dyDescent="0.25">
      <c r="A14" s="1"/>
      <c r="B14" s="144" t="s">
        <v>220</v>
      </c>
      <c r="C14" s="145"/>
      <c r="D14" s="146"/>
      <c r="E14" s="9">
        <v>0</v>
      </c>
      <c r="F14" s="8" t="s">
        <v>3</v>
      </c>
      <c r="G14" s="1"/>
    </row>
    <row r="15" spans="1:7" x14ac:dyDescent="0.25">
      <c r="A15" s="1"/>
      <c r="B15" s="132" t="s">
        <v>221</v>
      </c>
      <c r="C15" s="133"/>
      <c r="D15" s="134"/>
      <c r="E15" s="9">
        <v>0</v>
      </c>
      <c r="F15" s="8" t="s">
        <v>3</v>
      </c>
      <c r="G15" s="1"/>
    </row>
    <row r="16" spans="1:7" x14ac:dyDescent="0.25">
      <c r="A16" s="1"/>
      <c r="B16" s="141" t="s">
        <v>88</v>
      </c>
      <c r="C16" s="142"/>
      <c r="D16" s="143"/>
      <c r="E16" s="10">
        <f>E15-E14</f>
        <v>0</v>
      </c>
      <c r="F16" s="11" t="s">
        <v>3</v>
      </c>
      <c r="G16" s="1"/>
    </row>
    <row r="17" spans="1:7" ht="15" customHeight="1" x14ac:dyDescent="0.25">
      <c r="A17" s="1"/>
      <c r="B17" s="32" t="s">
        <v>222</v>
      </c>
      <c r="C17" s="33"/>
      <c r="D17" s="33"/>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5v3LJwf0qk9F1w1/YP1swIVFAGivNB8WqVEqFAm+cWa5pL9+YgQOD8sg+1gri48iUUqoHletCrwsHGyde2/+Cg==" saltValue="FHCmS0f6pZzaL2KhkOh7I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256</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229</v>
      </c>
      <c r="C8" s="151"/>
      <c r="D8" s="151"/>
      <c r="E8" s="151"/>
      <c r="F8" s="151"/>
      <c r="G8" s="151"/>
      <c r="H8" s="151"/>
      <c r="I8" s="151"/>
      <c r="J8" s="151"/>
      <c r="K8" s="153"/>
      <c r="L8" s="1"/>
    </row>
    <row r="9" spans="1:12" ht="39.75" customHeight="1" x14ac:dyDescent="0.25">
      <c r="A9" s="1"/>
      <c r="B9" s="19" t="s">
        <v>0</v>
      </c>
      <c r="C9" s="19" t="s">
        <v>1</v>
      </c>
      <c r="D9" s="175" t="s">
        <v>247</v>
      </c>
      <c r="E9" s="176"/>
      <c r="F9" s="175" t="s">
        <v>2</v>
      </c>
      <c r="G9" s="176"/>
      <c r="H9" s="175" t="s">
        <v>249</v>
      </c>
      <c r="I9" s="176"/>
      <c r="J9" s="175" t="s">
        <v>30</v>
      </c>
      <c r="K9" s="176"/>
      <c r="L9" s="1"/>
    </row>
    <row r="10" spans="1:12" x14ac:dyDescent="0.25">
      <c r="A10" s="1"/>
      <c r="B10" s="80" t="s">
        <v>281</v>
      </c>
      <c r="C10" s="38">
        <v>0</v>
      </c>
      <c r="D10" s="9">
        <v>0</v>
      </c>
      <c r="E10" s="14" t="s">
        <v>3</v>
      </c>
      <c r="F10" s="9">
        <f>IFERROR(D10/C10,0)</f>
        <v>0</v>
      </c>
      <c r="G10" s="14" t="s">
        <v>3</v>
      </c>
      <c r="H10" s="9">
        <v>0</v>
      </c>
      <c r="I10" s="14" t="s">
        <v>3</v>
      </c>
      <c r="J10" s="9">
        <v>0</v>
      </c>
      <c r="K10" s="14" t="s">
        <v>3</v>
      </c>
      <c r="L10" s="1"/>
    </row>
    <row r="11" spans="1:12" x14ac:dyDescent="0.25">
      <c r="A11" s="1"/>
      <c r="B11" s="150" t="s">
        <v>230</v>
      </c>
      <c r="C11" s="151"/>
      <c r="D11" s="151"/>
      <c r="E11" s="153"/>
      <c r="F11" s="12">
        <f>SUM(F10:F10)</f>
        <v>0</v>
      </c>
      <c r="G11" s="77" t="s">
        <v>248</v>
      </c>
      <c r="H11" s="12">
        <f>SUM(H10:H10)</f>
        <v>0</v>
      </c>
      <c r="I11" s="77" t="s">
        <v>248</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ymQDMS9gdJoOxGwzOa5sStoTydZtWQTFQimH7AdMisbsH+GP+G5XDCi6pkulttOwRrJEgcpHku5aECci2p6+JQ==" saltValue="toYlOcX+JDWDVMJGzHS8ng=="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257</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67" t="s">
        <v>17</v>
      </c>
      <c r="C9" s="67" t="s">
        <v>11</v>
      </c>
      <c r="D9" s="68"/>
      <c r="E9" s="67" t="s">
        <v>31</v>
      </c>
      <c r="F9" s="83"/>
      <c r="G9" s="1"/>
    </row>
    <row r="10" spans="1:7" x14ac:dyDescent="0.25">
      <c r="A10" s="1"/>
      <c r="B10" s="25" t="s">
        <v>241</v>
      </c>
      <c r="C10" s="22">
        <f>'Fane 10. Anlægsprojekter (§19) '!H11</f>
        <v>0</v>
      </c>
      <c r="D10" s="14" t="s">
        <v>3</v>
      </c>
      <c r="E10" s="9">
        <f>'Fane 10. Anlægsprojekter (§19) '!F11+'Fane 10. Anlægsprojekter (§19) '!J11</f>
        <v>0</v>
      </c>
      <c r="F10" s="14" t="s">
        <v>3</v>
      </c>
      <c r="G10" s="1"/>
    </row>
    <row r="11" spans="1:7" x14ac:dyDescent="0.25">
      <c r="A11" s="1"/>
      <c r="B11" s="39" t="s">
        <v>282</v>
      </c>
      <c r="C11" s="22">
        <v>0</v>
      </c>
      <c r="D11" s="14" t="s">
        <v>3</v>
      </c>
      <c r="E11" s="9">
        <v>0</v>
      </c>
      <c r="F11" s="14" t="s">
        <v>3</v>
      </c>
      <c r="G11" s="1"/>
    </row>
    <row r="12" spans="1:7" x14ac:dyDescent="0.25">
      <c r="A12" s="1"/>
      <c r="B12" s="32" t="s">
        <v>144</v>
      </c>
      <c r="C12" s="12">
        <f>SUM(C10:C11)</f>
        <v>0</v>
      </c>
      <c r="D12" s="13" t="s">
        <v>3</v>
      </c>
      <c r="E12" s="12">
        <f>SUM(E10:E11)</f>
        <v>0</v>
      </c>
      <c r="F12" s="13" t="s">
        <v>3</v>
      </c>
      <c r="G12" s="1"/>
    </row>
    <row r="13" spans="1:7" x14ac:dyDescent="0.25">
      <c r="A13" s="1"/>
      <c r="B13" s="32" t="s">
        <v>223</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5oDCSuYH3EyHUuix/sbAOGSSw403kGyKom+302v7nv/zcFIdWzLcoIaBiCaAP9fGJ2iDoOm1WU4b9OTuQSbFA==" saltValue="QlmE4r8mEpjzj8k2ynK8k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75" t="s">
        <v>85</v>
      </c>
      <c r="C7" s="76"/>
      <c r="D7" s="76"/>
      <c r="E7" s="76"/>
      <c r="F7" s="77"/>
      <c r="G7" s="1"/>
    </row>
    <row r="8" spans="1:7" x14ac:dyDescent="0.25">
      <c r="A8" s="1"/>
      <c r="B8" s="67" t="s">
        <v>17</v>
      </c>
      <c r="C8" s="67" t="s">
        <v>11</v>
      </c>
      <c r="D8" s="68"/>
      <c r="E8" s="67" t="s">
        <v>31</v>
      </c>
      <c r="F8" s="83"/>
      <c r="G8" s="1"/>
    </row>
    <row r="9" spans="1:7" x14ac:dyDescent="0.25">
      <c r="A9" s="1"/>
      <c r="B9" s="25" t="s">
        <v>283</v>
      </c>
      <c r="C9" s="22">
        <v>0</v>
      </c>
      <c r="D9" s="14" t="s">
        <v>3</v>
      </c>
      <c r="E9" s="22">
        <v>0</v>
      </c>
      <c r="F9" s="14" t="s">
        <v>3</v>
      </c>
      <c r="G9" s="1"/>
    </row>
    <row r="10" spans="1:7" x14ac:dyDescent="0.25">
      <c r="A10" s="1"/>
      <c r="B10" s="32" t="s">
        <v>232</v>
      </c>
      <c r="C10" s="12">
        <f>SUM(C9:C9)</f>
        <v>0</v>
      </c>
      <c r="D10" s="13" t="s">
        <v>3</v>
      </c>
      <c r="E10" s="12">
        <f>SUM(E9:E9)</f>
        <v>0</v>
      </c>
      <c r="F10" s="13" t="s">
        <v>3</v>
      </c>
      <c r="G10" s="1"/>
    </row>
    <row r="11" spans="1:7" x14ac:dyDescent="0.25">
      <c r="A11" s="1"/>
      <c r="B11" s="32" t="s">
        <v>145</v>
      </c>
      <c r="C11" s="12">
        <f>C10*(1+'Fane 15. Nøgletal'!$C$15)^2</f>
        <v>0</v>
      </c>
      <c r="D11" s="13" t="s">
        <v>3</v>
      </c>
      <c r="E11" s="12">
        <f>E10*(1+'Fane 15. Nøgletal'!$C$15)^2</f>
        <v>0</v>
      </c>
      <c r="F11" s="13" t="s">
        <v>3</v>
      </c>
      <c r="G11" s="1"/>
    </row>
    <row r="12" spans="1:7" x14ac:dyDescent="0.25">
      <c r="A12" s="1"/>
      <c r="B12" s="1"/>
      <c r="C12" s="1"/>
      <c r="D12" s="1"/>
      <c r="E12" s="1"/>
      <c r="F12" s="1"/>
      <c r="G12" s="1"/>
    </row>
    <row r="13" spans="1:7" x14ac:dyDescent="0.25">
      <c r="A13" s="1"/>
      <c r="B13" s="81"/>
      <c r="C13" s="81"/>
      <c r="D13" s="81"/>
      <c r="E13" s="81"/>
      <c r="F13" s="81"/>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7"/>
      <c r="C20" s="177"/>
      <c r="D20" s="177"/>
      <c r="E20" s="177"/>
      <c r="F20" s="177"/>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TrsV250ujd+DOAb52eOZj3vXPtUhAL9c8FSpr4OGbgipzERbKctod+7wAZgiS+E0QJlugfwHgKUjGMAutat4TQ==" saltValue="fmPPX4815cVIWNc2iEZ8AA=="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259</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239</v>
      </c>
      <c r="C10" s="172"/>
      <c r="D10" s="173"/>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25</v>
      </c>
      <c r="C12" s="130"/>
      <c r="D12" s="131"/>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239</v>
      </c>
      <c r="C16" s="172"/>
      <c r="D16" s="173"/>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25</v>
      </c>
      <c r="C18" s="130"/>
      <c r="D18" s="131"/>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239</v>
      </c>
      <c r="C22" s="172"/>
      <c r="D22" s="173"/>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25</v>
      </c>
      <c r="C24" s="130"/>
      <c r="D24" s="131"/>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224</v>
      </c>
      <c r="C27" s="151"/>
      <c r="D27" s="151"/>
      <c r="E27" s="151"/>
      <c r="F27" s="153"/>
      <c r="G27" s="1"/>
    </row>
    <row r="28" spans="1:7" x14ac:dyDescent="0.25">
      <c r="A28" s="1"/>
      <c r="B28" s="171" t="s">
        <v>239</v>
      </c>
      <c r="C28" s="172"/>
      <c r="D28" s="173"/>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25</v>
      </c>
      <c r="C30" s="130"/>
      <c r="D30" s="131"/>
      <c r="E30" s="9">
        <f>-E28*'Fane 15. Nøgletal'!C31</f>
        <v>0</v>
      </c>
      <c r="F30" s="14" t="s">
        <v>3</v>
      </c>
      <c r="G30" s="1"/>
    </row>
    <row r="31" spans="1:7" x14ac:dyDescent="0.25">
      <c r="A31" s="1"/>
      <c r="B31" s="150" t="s">
        <v>225</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5Ou+TkHe/S9RtQxwRBy1MDCD0q/ggUkrKbqVLKlcp4JYzVApizlm8tpE0AyOpwe7smFmOZb0idXRPY24iUDcwQ==" saltValue="Nr+XUS1ocjVzIJyUITA3fg=="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260</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82" t="s">
        <v>120</v>
      </c>
      <c r="C9" s="135" t="s">
        <v>11</v>
      </c>
      <c r="D9" s="137"/>
      <c r="E9" s="178" t="s">
        <v>31</v>
      </c>
      <c r="F9" s="179"/>
      <c r="G9" s="1"/>
    </row>
    <row r="10" spans="1:7" x14ac:dyDescent="0.25">
      <c r="A10" s="1"/>
      <c r="B10" s="25" t="s">
        <v>284</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226</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Nz339QWjURcgi5WENnyk9jh5thlsH3uPLpsoChnDTclsDQTBkGUq5xAnaIPjRElci4n+DedHW6cVEeQxZSCWZw==" saltValue="M7t09zYwrXLzhY4Zgw5VB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261</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82" t="s">
        <v>18</v>
      </c>
      <c r="C10" s="82" t="s">
        <v>11</v>
      </c>
      <c r="D10" s="83"/>
      <c r="E10" s="82" t="s">
        <v>31</v>
      </c>
      <c r="F10" s="83"/>
      <c r="G10" s="1"/>
    </row>
    <row r="11" spans="1:7" x14ac:dyDescent="0.25">
      <c r="A11" s="1"/>
      <c r="B11" s="25" t="s">
        <v>293</v>
      </c>
      <c r="C11" s="9">
        <v>641581</v>
      </c>
      <c r="D11" s="14" t="s">
        <v>3</v>
      </c>
      <c r="E11" s="9">
        <v>0</v>
      </c>
      <c r="F11" s="14" t="s">
        <v>3</v>
      </c>
      <c r="G11" s="1"/>
    </row>
    <row r="12" spans="1:7" x14ac:dyDescent="0.25">
      <c r="A12" s="1"/>
      <c r="B12" s="32" t="s">
        <v>233</v>
      </c>
      <c r="C12" s="12">
        <f>SUM(C11:C11)</f>
        <v>641581</v>
      </c>
      <c r="D12" s="13" t="s">
        <v>3</v>
      </c>
      <c r="E12" s="12">
        <f>SUM(E11:E11)</f>
        <v>0</v>
      </c>
      <c r="F12" s="13" t="s">
        <v>3</v>
      </c>
      <c r="G12" s="1"/>
    </row>
    <row r="13" spans="1:7" x14ac:dyDescent="0.25">
      <c r="A13" s="1"/>
      <c r="B13" s="32" t="s">
        <v>77</v>
      </c>
      <c r="C13" s="12">
        <f>C12*(1+'Fane 15. Nøgletal'!C15)</f>
        <v>664421.28360000008</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maCGBHYNyIIjD9lJKw1zsZfNXw7pdFNRHttFLrF5ebJ57LkAZHoqCfoN7gLDEPdqj6G2igfMi/A4PKUS7ruK2w==" saltValue="CAEuLpthN85oaHvTfYcf2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194</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64" t="s">
        <v>93</v>
      </c>
      <c r="C9" s="7">
        <f>'Fane 3. Omkostninger i ØR2022'!E20</f>
        <v>37763995.581873424</v>
      </c>
      <c r="D9" s="8" t="s">
        <v>3</v>
      </c>
      <c r="E9" s="1"/>
    </row>
    <row r="10" spans="1:5" x14ac:dyDescent="0.25">
      <c r="A10" s="1"/>
      <c r="B10" s="65" t="s">
        <v>235</v>
      </c>
      <c r="C10" s="7">
        <f>('Fane 3. Omkostninger i ØR2022'!E10+'Fane 3. Omkostninger i ØR2022'!E14)*(1+'Fane 15. Nøgletal'!C14)*(1-'Fane 15. Nøgletal'!C31-'Fane 5. Individuelt eff. krav'!G9)</f>
        <v>0</v>
      </c>
      <c r="D10" s="8" t="s">
        <v>3</v>
      </c>
      <c r="E10" s="1"/>
    </row>
    <row r="11" spans="1:5" x14ac:dyDescent="0.25">
      <c r="A11" s="1"/>
      <c r="B11" s="65" t="s">
        <v>236</v>
      </c>
      <c r="C11" s="7">
        <f>('Fane 3. Omkostninger i ØR2022'!E11+'Fane 3. Omkostninger i ØR2022'!E15)*(1+'Fane 15. Nøgletal'!C14)*(1-'Fane 15. Nøgletal'!C25-'Fane 5. Individuelt eff. krav'!G9)</f>
        <v>0</v>
      </c>
      <c r="D11" s="8" t="s">
        <v>3</v>
      </c>
      <c r="E11" s="1"/>
    </row>
    <row r="12" spans="1:5" ht="17.25" customHeight="1" x14ac:dyDescent="0.25">
      <c r="A12" s="1"/>
      <c r="B12" s="66" t="s">
        <v>39</v>
      </c>
      <c r="C12" s="40">
        <f>'Fane 11.1. Varige tillæg'!C13</f>
        <v>0</v>
      </c>
      <c r="D12" s="8" t="s">
        <v>3</v>
      </c>
      <c r="E12" s="1"/>
    </row>
    <row r="13" spans="1:5" ht="17.25" customHeight="1" x14ac:dyDescent="0.25">
      <c r="A13" s="1"/>
      <c r="B13" s="66" t="s">
        <v>40</v>
      </c>
      <c r="C13" s="40">
        <f>'Fane 11.1. Varige tillæg'!E13</f>
        <v>0</v>
      </c>
      <c r="D13" s="8" t="s">
        <v>3</v>
      </c>
      <c r="E13" s="1"/>
    </row>
    <row r="14" spans="1:5" ht="17.25" customHeight="1" x14ac:dyDescent="0.25">
      <c r="A14" s="1"/>
      <c r="B14" s="66" t="s">
        <v>28</v>
      </c>
      <c r="C14" s="9">
        <f>-'Fane 14. Bortfald'!C13</f>
        <v>-664421.28360000008</v>
      </c>
      <c r="D14" s="8" t="s">
        <v>3</v>
      </c>
      <c r="E14" s="1"/>
    </row>
    <row r="15" spans="1:5" ht="17.25" customHeight="1" x14ac:dyDescent="0.25">
      <c r="A15" s="1"/>
      <c r="B15" s="66" t="s">
        <v>27</v>
      </c>
      <c r="C15" s="9">
        <f>-'Fane 14. Bortfald'!E13</f>
        <v>0</v>
      </c>
      <c r="D15" s="8" t="s">
        <v>3</v>
      </c>
      <c r="E15" s="1"/>
    </row>
    <row r="16" spans="1:5" ht="17.25" customHeight="1" x14ac:dyDescent="0.25">
      <c r="A16" s="1"/>
      <c r="B16" s="66" t="s">
        <v>113</v>
      </c>
      <c r="C16" s="9">
        <f>'Fane 13. Tilknyttet virksomhed'!C12</f>
        <v>0</v>
      </c>
      <c r="D16" s="8" t="s">
        <v>3</v>
      </c>
      <c r="E16" s="1"/>
    </row>
    <row r="17" spans="1:5" ht="17.25" customHeight="1" x14ac:dyDescent="0.25">
      <c r="A17" s="1"/>
      <c r="B17" s="66" t="s">
        <v>114</v>
      </c>
      <c r="C17" s="9">
        <f>'Fane 13. Tilknyttet virksomhed'!E12</f>
        <v>0</v>
      </c>
      <c r="D17" s="8" t="s">
        <v>3</v>
      </c>
      <c r="E17" s="1"/>
    </row>
    <row r="18" spans="1:5" ht="17.25" customHeight="1" x14ac:dyDescent="0.25">
      <c r="A18" s="1"/>
      <c r="B18" s="66" t="s">
        <v>19</v>
      </c>
      <c r="C18" s="9">
        <f>SUM(C9)*'Fane 15. Nøgletal'!C14+SUM(C12:C17)*'Fane 15. Nøgletal'!C15</f>
        <v>100967.7877240223</v>
      </c>
      <c r="D18" s="8" t="s">
        <v>3</v>
      </c>
      <c r="E18" s="1"/>
    </row>
    <row r="19" spans="1:5" ht="17.25" customHeight="1" x14ac:dyDescent="0.25">
      <c r="A19" s="1"/>
      <c r="B19" s="66" t="s">
        <v>10</v>
      </c>
      <c r="C19" s="9">
        <f>-SUM(C9,C12:C18)*'Fane 5. Individuelt eff. krav'!G9</f>
        <v>-19506.239290792975</v>
      </c>
      <c r="D19" s="8" t="s">
        <v>3</v>
      </c>
      <c r="E19" s="1"/>
    </row>
    <row r="20" spans="1:5" ht="17.25" customHeight="1" x14ac:dyDescent="0.25">
      <c r="A20" s="1"/>
      <c r="B20" s="66" t="s">
        <v>25</v>
      </c>
      <c r="C20" s="9">
        <f>-'Fane 4.1. Gen. krav - drift'!G48</f>
        <v>-429236.18974826881</v>
      </c>
      <c r="D20" s="8" t="s">
        <v>3</v>
      </c>
      <c r="E20" s="42"/>
    </row>
    <row r="21" spans="1:5" ht="15" customHeight="1" x14ac:dyDescent="0.25">
      <c r="A21" s="1"/>
      <c r="B21" s="66" t="s">
        <v>26</v>
      </c>
      <c r="C21" s="9">
        <f>-'Fane 4.2. Gen. krav - anlæg'!G47</f>
        <v>-233758.08658770466</v>
      </c>
      <c r="D21" s="8" t="s">
        <v>3</v>
      </c>
      <c r="E21" s="1"/>
    </row>
    <row r="22" spans="1:5" ht="15" customHeight="1" x14ac:dyDescent="0.25">
      <c r="A22" s="1"/>
      <c r="B22" s="69" t="s">
        <v>21</v>
      </c>
      <c r="C22" s="10">
        <f>SUM(C9,C12:C21)</f>
        <v>36518041.570370674</v>
      </c>
      <c r="D22" s="11" t="s">
        <v>3</v>
      </c>
      <c r="E22" s="1"/>
    </row>
    <row r="23" spans="1:5" ht="15" customHeight="1" x14ac:dyDescent="0.25">
      <c r="A23" s="1"/>
      <c r="B23" s="32" t="s">
        <v>12</v>
      </c>
      <c r="C23" s="33"/>
      <c r="D23" s="20"/>
      <c r="E23" s="1"/>
    </row>
    <row r="24" spans="1:5" ht="15" customHeight="1" x14ac:dyDescent="0.25">
      <c r="A24" s="1"/>
      <c r="B24" s="82" t="s">
        <v>12</v>
      </c>
      <c r="C24" s="10">
        <f>'Fane 6. Ikke-påvirkelige omk.'!C15+'Fane 6. Ikke-påvirkelige omk.'!C19+'Fane 6. Ikke-påvirkelige omk.'!C27</f>
        <v>4436500.39486128</v>
      </c>
      <c r="D24" s="11" t="s">
        <v>3</v>
      </c>
      <c r="E24" s="1"/>
    </row>
    <row r="25" spans="1:5" ht="15" customHeight="1" x14ac:dyDescent="0.25">
      <c r="A25" s="1"/>
      <c r="B25" s="32" t="s">
        <v>74</v>
      </c>
      <c r="C25" s="33"/>
      <c r="D25" s="20"/>
      <c r="E25" s="1"/>
    </row>
    <row r="26" spans="1:5" ht="15" customHeight="1" x14ac:dyDescent="0.25">
      <c r="A26" s="1"/>
      <c r="B26" s="69" t="s">
        <v>74</v>
      </c>
      <c r="C26" s="10">
        <f>'Fane 12. Periodevise driftsomk.'!E13</f>
        <v>0</v>
      </c>
      <c r="D26" s="11" t="s">
        <v>3</v>
      </c>
      <c r="E26" s="1"/>
    </row>
    <row r="27" spans="1:5" ht="15" customHeight="1" x14ac:dyDescent="0.25">
      <c r="A27" s="1"/>
      <c r="B27" s="32" t="s">
        <v>73</v>
      </c>
      <c r="C27" s="33"/>
      <c r="D27" s="20"/>
      <c r="E27" s="1"/>
    </row>
    <row r="28" spans="1:5" x14ac:dyDescent="0.25">
      <c r="A28" s="1"/>
      <c r="B28" s="66" t="s">
        <v>69</v>
      </c>
      <c r="C28" s="9">
        <f>'Fane 11.2. Engangstillæg'!C11</f>
        <v>0</v>
      </c>
      <c r="D28" s="8" t="s">
        <v>3</v>
      </c>
      <c r="E28" s="1"/>
    </row>
    <row r="29" spans="1:5" ht="15" customHeight="1" x14ac:dyDescent="0.25">
      <c r="A29" s="1"/>
      <c r="B29" s="66" t="s">
        <v>70</v>
      </c>
      <c r="C29" s="9">
        <f>'Fane 11.2. Engangstillæg'!E11</f>
        <v>0</v>
      </c>
      <c r="D29" s="8" t="s">
        <v>3</v>
      </c>
      <c r="E29" s="1"/>
    </row>
    <row r="30" spans="1:5" ht="15" customHeight="1" x14ac:dyDescent="0.25">
      <c r="A30" s="1"/>
      <c r="B30" s="66" t="s">
        <v>243</v>
      </c>
      <c r="C30" s="9">
        <f>-C28*('Fane 15. Nøgletal'!C31+'Fane 5. Individuelt eff. krav'!G9)</f>
        <v>0</v>
      </c>
      <c r="D30" s="8" t="s">
        <v>3</v>
      </c>
      <c r="E30" s="1"/>
    </row>
    <row r="31" spans="1:5" ht="15" customHeight="1" x14ac:dyDescent="0.25">
      <c r="A31" s="1"/>
      <c r="B31" s="41" t="s">
        <v>244</v>
      </c>
      <c r="C31" s="9">
        <f>-C28*('Fane 15. Nøgletal'!C26+'Fane 5. Individuelt eff. krav'!G9)</f>
        <v>0</v>
      </c>
      <c r="D31" s="8" t="s">
        <v>3</v>
      </c>
      <c r="E31" s="1"/>
    </row>
    <row r="32" spans="1:5" x14ac:dyDescent="0.25">
      <c r="A32" s="1"/>
      <c r="B32" s="69" t="s">
        <v>75</v>
      </c>
      <c r="C32" s="10">
        <f>SUM(C28:C31)</f>
        <v>0</v>
      </c>
      <c r="D32" s="11" t="s">
        <v>3</v>
      </c>
      <c r="E32" s="1"/>
    </row>
    <row r="33" spans="1:5" x14ac:dyDescent="0.25">
      <c r="A33" s="1"/>
      <c r="B33" s="32" t="s">
        <v>193</v>
      </c>
      <c r="C33" s="33"/>
      <c r="D33" s="20"/>
      <c r="E33" s="1"/>
    </row>
    <row r="34" spans="1:5" x14ac:dyDescent="0.25">
      <c r="A34" s="1"/>
      <c r="B34" s="82" t="s">
        <v>193</v>
      </c>
      <c r="C34" s="10">
        <f>'Fane 9. Korrektion af ØR2021'!E17</f>
        <v>0</v>
      </c>
      <c r="D34" s="11" t="s">
        <v>3</v>
      </c>
      <c r="E34" s="1"/>
    </row>
    <row r="35" spans="1:5" x14ac:dyDescent="0.25">
      <c r="A35" s="1"/>
      <c r="B35" s="32" t="s">
        <v>131</v>
      </c>
      <c r="C35" s="33"/>
      <c r="D35" s="20"/>
      <c r="E35" s="1"/>
    </row>
    <row r="36" spans="1:5" x14ac:dyDescent="0.25">
      <c r="A36" s="1"/>
      <c r="B36" s="82" t="s">
        <v>189</v>
      </c>
      <c r="C36" s="10">
        <f>'Fane 7. Kontrol af ØR2021'!E30</f>
        <v>0</v>
      </c>
      <c r="D36" s="11" t="s">
        <v>3</v>
      </c>
      <c r="E36" s="1"/>
    </row>
    <row r="37" spans="1:5" ht="26.25" customHeight="1" x14ac:dyDescent="0.25">
      <c r="A37" s="1"/>
      <c r="B37" s="118" t="s">
        <v>178</v>
      </c>
      <c r="C37" s="119"/>
      <c r="D37" s="120"/>
      <c r="E37" s="1"/>
    </row>
    <row r="38" spans="1:5" x14ac:dyDescent="0.25">
      <c r="A38" s="1"/>
      <c r="B38" s="79" t="s">
        <v>179</v>
      </c>
      <c r="C38" s="10">
        <f>'Fane 8. Skattesagen'!G12</f>
        <v>0</v>
      </c>
      <c r="D38" s="11" t="s">
        <v>3</v>
      </c>
      <c r="E38" s="1"/>
    </row>
    <row r="39" spans="1:5" x14ac:dyDescent="0.25">
      <c r="A39" s="1"/>
      <c r="B39" s="32" t="s">
        <v>78</v>
      </c>
      <c r="C39" s="12">
        <f>SUM(C22,C24,C26,C32,C34,C36,C38)</f>
        <v>40954541.965231955</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43"/>
      <c r="B48" s="43"/>
      <c r="C48" s="43"/>
      <c r="D48" s="43"/>
      <c r="E48" s="43"/>
    </row>
    <row r="49" spans="1:4" x14ac:dyDescent="0.25">
      <c r="A49" s="43"/>
      <c r="B49" s="43"/>
      <c r="C49" s="43"/>
      <c r="D49" s="43"/>
    </row>
  </sheetData>
  <sheetProtection algorithmName="SHA-512" hashValue="Vlgd5Ja4oBSoGzFe/p8xv7bBSlj9lYLv5oT9p6ItY3wG6VPNH816qENIdVX9ExU906cmSaV3oQMylXvTe5Y67g==" saltValue="r+I4/fBu2PH+ehe/DR79gA=="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262</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78" t="s">
        <v>180</v>
      </c>
      <c r="C9" s="26">
        <v>1.2699999999999999E-2</v>
      </c>
      <c r="D9" s="1"/>
    </row>
    <row r="10" spans="1:4" x14ac:dyDescent="0.25">
      <c r="A10" s="1"/>
      <c r="B10" s="78" t="s">
        <v>100</v>
      </c>
      <c r="C10" s="26">
        <v>1.7500000000000002E-2</v>
      </c>
      <c r="D10" s="1"/>
    </row>
    <row r="11" spans="1:4" x14ac:dyDescent="0.25">
      <c r="A11" s="1"/>
      <c r="B11" s="78"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188</v>
      </c>
      <c r="C14" s="29">
        <v>3.3E-3</v>
      </c>
      <c r="D14" s="1"/>
    </row>
    <row r="15" spans="1:4" x14ac:dyDescent="0.25">
      <c r="A15" s="1"/>
      <c r="B15" s="28" t="s">
        <v>227</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78" t="s">
        <v>181</v>
      </c>
      <c r="C20" s="23">
        <v>9.1000000000000004E-3</v>
      </c>
      <c r="D20" s="1"/>
    </row>
    <row r="21" spans="1:4" x14ac:dyDescent="0.25">
      <c r="A21" s="1"/>
      <c r="B21" s="78" t="s">
        <v>102</v>
      </c>
      <c r="C21" s="23">
        <v>1.77E-2</v>
      </c>
      <c r="D21" s="1"/>
    </row>
    <row r="22" spans="1:4" x14ac:dyDescent="0.25">
      <c r="A22" s="1"/>
      <c r="B22" s="78" t="s">
        <v>101</v>
      </c>
      <c r="C22" s="23">
        <v>8.6999999999999994E-3</v>
      </c>
      <c r="D22" s="1"/>
    </row>
    <row r="23" spans="1:4" x14ac:dyDescent="0.25">
      <c r="A23" s="1"/>
      <c r="B23" s="78" t="s">
        <v>103</v>
      </c>
      <c r="C23" s="23">
        <v>2.8400000000000002E-2</v>
      </c>
      <c r="D23" s="1"/>
    </row>
    <row r="24" spans="1:4" x14ac:dyDescent="0.25">
      <c r="A24" s="1"/>
      <c r="B24" s="78" t="s">
        <v>122</v>
      </c>
      <c r="C24" s="30">
        <v>2.75E-2</v>
      </c>
      <c r="D24" s="1"/>
    </row>
    <row r="25" spans="1:4" x14ac:dyDescent="0.25">
      <c r="A25" s="1"/>
      <c r="B25" s="78" t="s">
        <v>149</v>
      </c>
      <c r="C25" s="30">
        <v>1.4800000000000001E-2</v>
      </c>
      <c r="D25" s="1"/>
    </row>
    <row r="26" spans="1:4" x14ac:dyDescent="0.25">
      <c r="A26" s="1"/>
      <c r="B26" s="78" t="s">
        <v>228</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78"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OSQFVl2jwR+28B550dH+cGmPi6d/6uoW9rfrwB22rB4C8ESy3nx0ROwwLLdPAqwAAWNHsittrp7YRWSaysQayw==" saltValue="sdhsaS5jMjEU1VX0CUBnD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64" t="s">
        <v>115</v>
      </c>
      <c r="C9" s="7">
        <f>'Fane 2.1. Økonomisk ramme 2023'!C22</f>
        <v>36518041.570370674</v>
      </c>
      <c r="D9" s="8" t="s">
        <v>3</v>
      </c>
      <c r="E9" s="1"/>
    </row>
    <row r="10" spans="1:5" ht="15" customHeight="1" x14ac:dyDescent="0.25">
      <c r="A10" s="1"/>
      <c r="B10" s="65" t="s">
        <v>19</v>
      </c>
      <c r="C10" s="7">
        <f>SUM(C9:C9)*'Fane 15. Nøgletal'!C15</f>
        <v>1300042.279905196</v>
      </c>
      <c r="D10" s="8" t="s">
        <v>3</v>
      </c>
      <c r="E10" s="1"/>
    </row>
    <row r="11" spans="1:5" ht="15" customHeight="1" x14ac:dyDescent="0.25">
      <c r="A11" s="1"/>
      <c r="B11" s="65" t="s">
        <v>10</v>
      </c>
      <c r="C11" s="9">
        <f>-SUM(C9:C10)*'Fane 5. Individuelt eff. krav'!G9</f>
        <v>-19830.04955673551</v>
      </c>
      <c r="D11" s="8" t="s">
        <v>3</v>
      </c>
      <c r="E11" s="1"/>
    </row>
    <row r="12" spans="1:5" ht="15" customHeight="1" x14ac:dyDescent="0.25">
      <c r="A12" s="1"/>
      <c r="B12" s="65" t="s">
        <v>25</v>
      </c>
      <c r="C12" s="9">
        <f>-'Fane 4.1. Gen. krav - drift'!G54</f>
        <v>-435626.65814124106</v>
      </c>
      <c r="D12" s="8" t="s">
        <v>3</v>
      </c>
      <c r="E12" s="1"/>
    </row>
    <row r="13" spans="1:5" ht="15" customHeight="1" x14ac:dyDescent="0.25">
      <c r="A13" s="1"/>
      <c r="B13" s="65" t="s">
        <v>26</v>
      </c>
      <c r="C13" s="9">
        <f>-'Fane 4.2. Gen. krav - anlæg'!G52</f>
        <v>0</v>
      </c>
      <c r="D13" s="8" t="s">
        <v>3</v>
      </c>
      <c r="E13" s="1"/>
    </row>
    <row r="14" spans="1:5" ht="15" customHeight="1" x14ac:dyDescent="0.25">
      <c r="A14" s="1"/>
      <c r="B14" s="35" t="s">
        <v>21</v>
      </c>
      <c r="C14" s="10">
        <f>SUM(C9:C13)</f>
        <v>37362627.142577894</v>
      </c>
      <c r="D14" s="11" t="s">
        <v>3</v>
      </c>
      <c r="E14" s="1"/>
    </row>
    <row r="15" spans="1:5" ht="15" customHeight="1" x14ac:dyDescent="0.25">
      <c r="A15" s="1"/>
      <c r="B15" s="32" t="s">
        <v>12</v>
      </c>
      <c r="C15" s="33"/>
      <c r="D15" s="20"/>
      <c r="E15" s="1"/>
    </row>
    <row r="16" spans="1:5" ht="15" customHeight="1" x14ac:dyDescent="0.25">
      <c r="A16" s="1"/>
      <c r="B16" s="82" t="s">
        <v>12</v>
      </c>
      <c r="C16" s="10">
        <f>'Fane 6. Ikke-påvirkelige omk.'!C15*(1+'Fane 15. Nøgletal'!C15)+'Fane 6. Ikke-påvirkelige omk.'!C20+'Fane 6. Ikke-påvirkelige omk.'!C28</f>
        <v>4594439.808918342</v>
      </c>
      <c r="D16" s="11" t="s">
        <v>3</v>
      </c>
      <c r="E16" s="1"/>
    </row>
    <row r="17" spans="1:5" ht="15" customHeight="1" x14ac:dyDescent="0.25">
      <c r="A17" s="1"/>
      <c r="B17" s="32" t="s">
        <v>74</v>
      </c>
      <c r="C17" s="33"/>
      <c r="D17" s="20"/>
      <c r="E17" s="1"/>
    </row>
    <row r="18" spans="1:5" ht="15" customHeight="1" x14ac:dyDescent="0.25">
      <c r="A18" s="1"/>
      <c r="B18" s="69"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82" t="s">
        <v>189</v>
      </c>
      <c r="C20" s="10">
        <f>'Fane 7. Kontrol af ØR2021'!E36</f>
        <v>0</v>
      </c>
      <c r="D20" s="11" t="s">
        <v>3</v>
      </c>
      <c r="E20" s="1"/>
    </row>
    <row r="21" spans="1:5" x14ac:dyDescent="0.25">
      <c r="A21" s="1"/>
      <c r="B21" s="34" t="s">
        <v>178</v>
      </c>
      <c r="C21" s="33"/>
      <c r="D21" s="20"/>
      <c r="E21" s="1"/>
    </row>
    <row r="22" spans="1:5" x14ac:dyDescent="0.25">
      <c r="A22" s="1"/>
      <c r="B22" s="79" t="s">
        <v>179</v>
      </c>
      <c r="C22" s="10">
        <f>'Fane 8. Skattesagen'!G13</f>
        <v>0</v>
      </c>
      <c r="D22" s="11" t="s">
        <v>3</v>
      </c>
      <c r="E22" s="1"/>
    </row>
    <row r="23" spans="1:5" ht="15" customHeight="1" x14ac:dyDescent="0.25">
      <c r="A23" s="1"/>
      <c r="B23" s="32" t="s">
        <v>116</v>
      </c>
      <c r="C23" s="12">
        <f>SUM(C14,C16,C18,C20,C22)</f>
        <v>41957066.951496236</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nHIzyNV8lfKoqDx13NjvVZo9Ngy82bNoZBDUhqSQkcm04Al2Oz/sTPtp5qABqRVd/zZFvVAKISgkMfpqHBaCPQ==" saltValue="oUL4TFx+zyPNSAvd9wcLi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64" t="s">
        <v>137</v>
      </c>
      <c r="C8" s="7">
        <f>'Fane 2.2. Økonomisk ramme 2024'!C14</f>
        <v>37362627.142577894</v>
      </c>
      <c r="D8" s="8" t="s">
        <v>3</v>
      </c>
      <c r="E8" s="1"/>
    </row>
    <row r="9" spans="1:5" ht="15" customHeight="1" x14ac:dyDescent="0.25">
      <c r="A9" s="1"/>
      <c r="B9" s="65" t="s">
        <v>19</v>
      </c>
      <c r="C9" s="44">
        <f>SUM(C8:C8)*'Fane 15. Nøgletal'!C15</f>
        <v>1330109.5262757731</v>
      </c>
      <c r="D9" s="8" t="s">
        <v>3</v>
      </c>
      <c r="E9" s="1"/>
    </row>
    <row r="10" spans="1:5" ht="15" customHeight="1" x14ac:dyDescent="0.25">
      <c r="A10" s="1"/>
      <c r="B10" s="65" t="s">
        <v>10</v>
      </c>
      <c r="C10" s="9">
        <f>-SUM(C8:C9)*'Fane 5. Individuelt eff. krav'!G9</f>
        <v>-20288.676937382395</v>
      </c>
      <c r="D10" s="8" t="s">
        <v>3</v>
      </c>
      <c r="E10" s="1"/>
    </row>
    <row r="11" spans="1:5" ht="15" customHeight="1" x14ac:dyDescent="0.25">
      <c r="A11" s="1"/>
      <c r="B11" s="65" t="s">
        <v>25</v>
      </c>
      <c r="C11" s="9">
        <f>-'Fane 4.1. Gen. krav - drift'!G59</f>
        <v>-442112.26782764791</v>
      </c>
      <c r="D11" s="8" t="s">
        <v>3</v>
      </c>
      <c r="E11" s="1"/>
    </row>
    <row r="12" spans="1:5" ht="15" customHeight="1" x14ac:dyDescent="0.25">
      <c r="A12" s="1"/>
      <c r="B12" s="65" t="s">
        <v>26</v>
      </c>
      <c r="C12" s="9">
        <f>-'Fane 4.2. Gen. krav - anlæg'!G57</f>
        <v>0</v>
      </c>
      <c r="D12" s="8" t="s">
        <v>3</v>
      </c>
      <c r="E12" s="1"/>
    </row>
    <row r="13" spans="1:5" ht="15.75" customHeight="1" x14ac:dyDescent="0.25">
      <c r="A13" s="1"/>
      <c r="B13" s="35" t="s">
        <v>21</v>
      </c>
      <c r="C13" s="10">
        <f>SUM(C8:C12)</f>
        <v>38230335.724088646</v>
      </c>
      <c r="D13" s="11" t="s">
        <v>3</v>
      </c>
      <c r="E13" s="1"/>
    </row>
    <row r="14" spans="1:5" x14ac:dyDescent="0.25">
      <c r="A14" s="1"/>
      <c r="B14" s="32" t="s">
        <v>12</v>
      </c>
      <c r="C14" s="33"/>
      <c r="D14" s="20"/>
      <c r="E14" s="1"/>
    </row>
    <row r="15" spans="1:5" ht="15" customHeight="1" x14ac:dyDescent="0.25">
      <c r="A15" s="1"/>
      <c r="B15" s="82" t="s">
        <v>12</v>
      </c>
      <c r="C15" s="10">
        <f>'Fane 6. Ikke-påvirkelige omk.'!C15*(1+'Fane 15. Nøgletal'!C15)^2+'Fane 6. Ikke-påvirkelige omk.'!C21+'Fane 6. Ikke-påvirkelige omk.'!C29</f>
        <v>4758001.8661158346</v>
      </c>
      <c r="D15" s="11" t="s">
        <v>3</v>
      </c>
      <c r="E15" s="1"/>
    </row>
    <row r="16" spans="1:5" ht="15" customHeight="1" x14ac:dyDescent="0.25">
      <c r="A16" s="1"/>
      <c r="B16" s="32" t="s">
        <v>74</v>
      </c>
      <c r="C16" s="33"/>
      <c r="D16" s="20"/>
      <c r="E16" s="1"/>
    </row>
    <row r="17" spans="1:5" ht="15" customHeight="1" x14ac:dyDescent="0.25">
      <c r="A17" s="1"/>
      <c r="B17" s="69"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82" t="s">
        <v>189</v>
      </c>
      <c r="C19" s="10">
        <f>'Fane 7. Kontrol af ØR2021'!E36</f>
        <v>0</v>
      </c>
      <c r="D19" s="11" t="s">
        <v>3</v>
      </c>
      <c r="E19" s="1"/>
    </row>
    <row r="20" spans="1:5" x14ac:dyDescent="0.25">
      <c r="A20" s="1"/>
      <c r="B20" s="34" t="s">
        <v>178</v>
      </c>
      <c r="C20" s="33"/>
      <c r="D20" s="20"/>
      <c r="E20" s="1"/>
    </row>
    <row r="21" spans="1:5" x14ac:dyDescent="0.25">
      <c r="A21" s="1"/>
      <c r="B21" s="79" t="s">
        <v>179</v>
      </c>
      <c r="C21" s="10">
        <f>'Fane 8. Skattesagen'!G14</f>
        <v>0</v>
      </c>
      <c r="D21" s="11" t="s">
        <v>3</v>
      </c>
      <c r="E21" s="1"/>
    </row>
    <row r="22" spans="1:5" x14ac:dyDescent="0.25">
      <c r="A22" s="1"/>
      <c r="B22" s="32" t="s">
        <v>138</v>
      </c>
      <c r="C22" s="12">
        <f>SUM(C13,C15,C17,C19,C21)</f>
        <v>42988337.590204477</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Xb3lWXWpZlLleIp5oWYGjV5qX58uaJl6jUAo8vgZlnjDQ9/Wmv/YHCfDKEEc+r59gNo1q+RmV7XkPAvrgpRAJg==" saltValue="ln/E5E6PvWqUdaMmDBk34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197</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64" t="s">
        <v>198</v>
      </c>
      <c r="C8" s="7">
        <f>'Fane 2.3. Økonomisk ramme 2025'!C13</f>
        <v>38230335.724088646</v>
      </c>
      <c r="D8" s="8" t="s">
        <v>3</v>
      </c>
      <c r="E8" s="1"/>
    </row>
    <row r="9" spans="1:5" ht="15" customHeight="1" x14ac:dyDescent="0.25">
      <c r="A9" s="1"/>
      <c r="B9" s="65" t="s">
        <v>19</v>
      </c>
      <c r="C9" s="44">
        <f>SUM(C8:C8)*'Fane 15. Nøgletal'!C15</f>
        <v>1360999.9517775557</v>
      </c>
      <c r="D9" s="8" t="s">
        <v>3</v>
      </c>
      <c r="E9" s="1"/>
    </row>
    <row r="10" spans="1:5" ht="15" customHeight="1" x14ac:dyDescent="0.25">
      <c r="A10" s="1"/>
      <c r="B10" s="65" t="s">
        <v>10</v>
      </c>
      <c r="C10" s="9">
        <f>-SUM(C8:C9)*'Fane 5. Individuelt eff. krav'!G9</f>
        <v>-20759.860588866151</v>
      </c>
      <c r="D10" s="8" t="s">
        <v>3</v>
      </c>
      <c r="E10" s="1"/>
    </row>
    <row r="11" spans="1:5" ht="15" customHeight="1" x14ac:dyDescent="0.25">
      <c r="A11" s="1"/>
      <c r="B11" s="65" t="s">
        <v>25</v>
      </c>
      <c r="C11" s="9">
        <f>-'Fane 4.1. Gen. krav - drift'!G64</f>
        <v>-448694.43527106597</v>
      </c>
      <c r="D11" s="8" t="s">
        <v>3</v>
      </c>
      <c r="E11" s="1"/>
    </row>
    <row r="12" spans="1:5" ht="15" customHeight="1" x14ac:dyDescent="0.25">
      <c r="A12" s="1"/>
      <c r="B12" s="65" t="s">
        <v>26</v>
      </c>
      <c r="C12" s="9">
        <f>-'Fane 4.2. Gen. krav - anlæg'!G62</f>
        <v>0</v>
      </c>
      <c r="D12" s="8" t="s">
        <v>3</v>
      </c>
      <c r="E12" s="1"/>
    </row>
    <row r="13" spans="1:5" ht="15.75" customHeight="1" x14ac:dyDescent="0.25">
      <c r="A13" s="1"/>
      <c r="B13" s="35" t="s">
        <v>21</v>
      </c>
      <c r="C13" s="10">
        <f>SUM(C8:C12)</f>
        <v>39121881.380006269</v>
      </c>
      <c r="D13" s="11" t="s">
        <v>3</v>
      </c>
      <c r="E13" s="1"/>
    </row>
    <row r="14" spans="1:5" x14ac:dyDescent="0.25">
      <c r="A14" s="1"/>
      <c r="B14" s="32" t="s">
        <v>12</v>
      </c>
      <c r="C14" s="33"/>
      <c r="D14" s="20"/>
      <c r="E14" s="1"/>
    </row>
    <row r="15" spans="1:5" ht="15" customHeight="1" x14ac:dyDescent="0.25">
      <c r="A15" s="1"/>
      <c r="B15" s="82" t="s">
        <v>12</v>
      </c>
      <c r="C15" s="10">
        <f>'Fane 6. Ikke-påvirkelige omk.'!C15*(1+'Fane 15. Nøgletal'!C15)^3+'Fane 6. Ikke-påvirkelige omk.'!C22+'Fane 6. Ikke-påvirkelige omk.'!C30</f>
        <v>4927386.7325495593</v>
      </c>
      <c r="D15" s="11" t="s">
        <v>3</v>
      </c>
      <c r="E15" s="1"/>
    </row>
    <row r="16" spans="1:5" ht="15" customHeight="1" x14ac:dyDescent="0.25">
      <c r="A16" s="1"/>
      <c r="B16" s="32" t="s">
        <v>74</v>
      </c>
      <c r="C16" s="33"/>
      <c r="D16" s="20"/>
      <c r="E16" s="1"/>
    </row>
    <row r="17" spans="1:5" ht="15" customHeight="1" x14ac:dyDescent="0.25">
      <c r="A17" s="1"/>
      <c r="B17" s="69"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82" t="s">
        <v>189</v>
      </c>
      <c r="C19" s="10">
        <f>'Fane 7. Kontrol af ØR2021'!E36</f>
        <v>0</v>
      </c>
      <c r="D19" s="11" t="s">
        <v>3</v>
      </c>
      <c r="E19" s="1"/>
    </row>
    <row r="20" spans="1:5" ht="15" customHeight="1" x14ac:dyDescent="0.25">
      <c r="A20" s="1"/>
      <c r="B20" s="34" t="s">
        <v>178</v>
      </c>
      <c r="C20" s="33"/>
      <c r="D20" s="20"/>
      <c r="E20" s="1"/>
    </row>
    <row r="21" spans="1:5" ht="15" customHeight="1" x14ac:dyDescent="0.25">
      <c r="A21" s="1"/>
      <c r="B21" s="79" t="s">
        <v>179</v>
      </c>
      <c r="C21" s="10">
        <f>'Fane 8. Skattesagen'!G15</f>
        <v>0</v>
      </c>
      <c r="D21" s="11" t="s">
        <v>3</v>
      </c>
      <c r="E21" s="1"/>
    </row>
    <row r="22" spans="1:5" ht="15" customHeight="1" x14ac:dyDescent="0.25">
      <c r="A22" s="1"/>
      <c r="B22" s="32" t="s">
        <v>199</v>
      </c>
      <c r="C22" s="12">
        <f>SUM(C13,C15,C17,C19,C21)</f>
        <v>44049268.112555832</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s5rXloyt0kKpRlLOaJg7Nd+Tzj+SjHcDI63Z4OFCpisBfzoGwK+byosask+HyU+qGRRHCdkNMxdPSrV5WK1yyw==" saltValue="ATaGDMNWNvB5k7/sjHwfe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200</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201</v>
      </c>
      <c r="C8" s="33"/>
      <c r="D8" s="33"/>
      <c r="E8" s="33"/>
      <c r="F8" s="20"/>
      <c r="G8" s="1"/>
    </row>
    <row r="9" spans="1:7" x14ac:dyDescent="0.25">
      <c r="A9" s="1"/>
      <c r="B9" s="123" t="s">
        <v>24</v>
      </c>
      <c r="C9" s="124"/>
      <c r="D9" s="125"/>
      <c r="E9" s="84">
        <v>38344671.579047725</v>
      </c>
      <c r="F9" s="8" t="s">
        <v>3</v>
      </c>
      <c r="G9" s="1"/>
    </row>
    <row r="10" spans="1:7" ht="14.25" customHeight="1" x14ac:dyDescent="0.25">
      <c r="A10" s="1"/>
      <c r="B10" s="129" t="s">
        <v>39</v>
      </c>
      <c r="C10" s="130"/>
      <c r="D10" s="131"/>
      <c r="E10" s="84">
        <v>0</v>
      </c>
      <c r="F10" s="8" t="s">
        <v>3</v>
      </c>
      <c r="G10" s="1"/>
    </row>
    <row r="11" spans="1:7" ht="14.25" customHeight="1" x14ac:dyDescent="0.25">
      <c r="A11" s="1"/>
      <c r="B11" s="129" t="s">
        <v>40</v>
      </c>
      <c r="C11" s="130"/>
      <c r="D11" s="131"/>
      <c r="E11" s="84">
        <v>0</v>
      </c>
      <c r="F11" s="8" t="s">
        <v>3</v>
      </c>
      <c r="G11" s="1"/>
    </row>
    <row r="12" spans="1:7" x14ac:dyDescent="0.25">
      <c r="A12" s="1"/>
      <c r="B12" s="126" t="s">
        <v>28</v>
      </c>
      <c r="C12" s="127"/>
      <c r="D12" s="128"/>
      <c r="E12" s="85">
        <v>0</v>
      </c>
      <c r="F12" s="8" t="s">
        <v>3</v>
      </c>
      <c r="G12" s="1"/>
    </row>
    <row r="13" spans="1:7" ht="15" customHeight="1" x14ac:dyDescent="0.25">
      <c r="A13" s="1"/>
      <c r="B13" s="126" t="s">
        <v>27</v>
      </c>
      <c r="C13" s="127"/>
      <c r="D13" s="128"/>
      <c r="E13" s="85">
        <v>0</v>
      </c>
      <c r="F13" s="8" t="s">
        <v>3</v>
      </c>
      <c r="G13" s="1"/>
    </row>
    <row r="14" spans="1:7" x14ac:dyDescent="0.25">
      <c r="A14" s="1"/>
      <c r="B14" s="126" t="s">
        <v>113</v>
      </c>
      <c r="C14" s="127"/>
      <c r="D14" s="128"/>
      <c r="E14" s="85">
        <v>0</v>
      </c>
      <c r="F14" s="8" t="s">
        <v>3</v>
      </c>
      <c r="G14" s="1"/>
    </row>
    <row r="15" spans="1:7" x14ac:dyDescent="0.25">
      <c r="A15" s="1"/>
      <c r="B15" s="126" t="s">
        <v>114</v>
      </c>
      <c r="C15" s="127"/>
      <c r="D15" s="128"/>
      <c r="E15" s="85">
        <v>0</v>
      </c>
      <c r="F15" s="8" t="s">
        <v>3</v>
      </c>
      <c r="G15" s="1"/>
    </row>
    <row r="16" spans="1:7" x14ac:dyDescent="0.25">
      <c r="A16" s="1"/>
      <c r="B16" s="126" t="s">
        <v>19</v>
      </c>
      <c r="C16" s="127"/>
      <c r="D16" s="128"/>
      <c r="E16" s="85">
        <f>SUM(E9:E15)*'Fane 15. Nøgletal'!C14</f>
        <v>126537.4162108575</v>
      </c>
      <c r="F16" s="8" t="s">
        <v>3</v>
      </c>
      <c r="G16" s="1"/>
    </row>
    <row r="17" spans="1:7" x14ac:dyDescent="0.25">
      <c r="A17" s="1"/>
      <c r="B17" s="126" t="s">
        <v>10</v>
      </c>
      <c r="C17" s="127"/>
      <c r="D17" s="128"/>
      <c r="E17" s="85">
        <v>-20172.518097527613</v>
      </c>
      <c r="F17" s="8" t="s">
        <v>3</v>
      </c>
      <c r="G17" s="1"/>
    </row>
    <row r="18" spans="1:7" x14ac:dyDescent="0.25">
      <c r="A18" s="1"/>
      <c r="B18" s="126" t="s">
        <v>25</v>
      </c>
      <c r="C18" s="127"/>
      <c r="D18" s="128"/>
      <c r="E18" s="85">
        <f>-'Fane 4.1. Gen. krav - drift'!G42</f>
        <v>-450551.63203692302</v>
      </c>
      <c r="F18" s="8" t="s">
        <v>3</v>
      </c>
      <c r="G18" s="1"/>
    </row>
    <row r="19" spans="1:7" x14ac:dyDescent="0.25">
      <c r="A19" s="1"/>
      <c r="B19" s="126" t="s">
        <v>26</v>
      </c>
      <c r="C19" s="127"/>
      <c r="D19" s="128"/>
      <c r="E19" s="85">
        <f>-'Fane 4.2. Gen. krav - anlæg'!G41</f>
        <v>-236489.26325070491</v>
      </c>
      <c r="F19" s="8" t="s">
        <v>3</v>
      </c>
      <c r="G19" s="1"/>
    </row>
    <row r="20" spans="1:7" x14ac:dyDescent="0.25">
      <c r="A20" s="1"/>
      <c r="B20" s="138" t="s">
        <v>21</v>
      </c>
      <c r="C20" s="139"/>
      <c r="D20" s="140"/>
      <c r="E20" s="86">
        <f>SUM(E9:E19)</f>
        <v>37763995.581873424</v>
      </c>
      <c r="F20" s="45" t="s">
        <v>3</v>
      </c>
      <c r="G20" s="1"/>
    </row>
    <row r="21" spans="1:7" x14ac:dyDescent="0.25">
      <c r="A21" s="1"/>
      <c r="B21" s="32" t="s">
        <v>12</v>
      </c>
      <c r="C21" s="33"/>
      <c r="D21" s="33"/>
      <c r="E21" s="87"/>
      <c r="F21" s="20"/>
      <c r="G21" s="1"/>
    </row>
    <row r="22" spans="1:7" ht="14.25" customHeight="1" x14ac:dyDescent="0.25">
      <c r="A22" s="1"/>
      <c r="B22" s="135" t="s">
        <v>12</v>
      </c>
      <c r="C22" s="136"/>
      <c r="D22" s="137"/>
      <c r="E22" s="88">
        <v>4966837.5724340212</v>
      </c>
      <c r="F22" s="10" t="s">
        <v>3</v>
      </c>
      <c r="G22" s="1"/>
    </row>
    <row r="23" spans="1:7" ht="14.25" customHeight="1" x14ac:dyDescent="0.25">
      <c r="A23" s="1"/>
      <c r="B23" s="32" t="s">
        <v>74</v>
      </c>
      <c r="C23" s="33"/>
      <c r="D23" s="33"/>
      <c r="E23" s="87"/>
      <c r="F23" s="20"/>
      <c r="G23" s="1"/>
    </row>
    <row r="24" spans="1:7" x14ac:dyDescent="0.25">
      <c r="A24" s="1"/>
      <c r="B24" s="141" t="s">
        <v>74</v>
      </c>
      <c r="C24" s="142"/>
      <c r="D24" s="143"/>
      <c r="E24" s="88">
        <v>0</v>
      </c>
      <c r="F24" s="10" t="s">
        <v>3</v>
      </c>
      <c r="G24" s="1"/>
    </row>
    <row r="25" spans="1:7" x14ac:dyDescent="0.25">
      <c r="A25" s="1"/>
      <c r="B25" s="32" t="s">
        <v>73</v>
      </c>
      <c r="C25" s="33"/>
      <c r="D25" s="33"/>
      <c r="E25" s="87"/>
      <c r="F25" s="20"/>
      <c r="G25" s="1"/>
    </row>
    <row r="26" spans="1:7" ht="15.4" customHeight="1" x14ac:dyDescent="0.25">
      <c r="A26" s="1"/>
      <c r="B26" s="129" t="s">
        <v>69</v>
      </c>
      <c r="C26" s="130"/>
      <c r="D26" s="131"/>
      <c r="E26" s="89">
        <v>0</v>
      </c>
      <c r="F26" s="8" t="s">
        <v>3</v>
      </c>
      <c r="G26" s="1"/>
    </row>
    <row r="27" spans="1:7" ht="15.75" customHeight="1" x14ac:dyDescent="0.25">
      <c r="A27" s="1"/>
      <c r="B27" s="129" t="s">
        <v>70</v>
      </c>
      <c r="C27" s="130"/>
      <c r="D27" s="131"/>
      <c r="E27" s="89">
        <v>0</v>
      </c>
      <c r="F27" s="8" t="s">
        <v>3</v>
      </c>
      <c r="G27" s="1"/>
    </row>
    <row r="28" spans="1:7" x14ac:dyDescent="0.25">
      <c r="A28" s="1"/>
      <c r="B28" s="69" t="s">
        <v>75</v>
      </c>
      <c r="C28" s="36"/>
      <c r="D28" s="37"/>
      <c r="E28" s="88">
        <v>0</v>
      </c>
      <c r="F28" s="11" t="s">
        <v>3</v>
      </c>
      <c r="G28" s="1"/>
    </row>
    <row r="29" spans="1:7" x14ac:dyDescent="0.25">
      <c r="A29" s="1"/>
      <c r="B29" s="32" t="s">
        <v>136</v>
      </c>
      <c r="C29" s="33"/>
      <c r="D29" s="33"/>
      <c r="E29" s="87"/>
      <c r="F29" s="20"/>
      <c r="G29" s="1"/>
    </row>
    <row r="30" spans="1:7" ht="15" customHeight="1" x14ac:dyDescent="0.25">
      <c r="A30" s="1"/>
      <c r="B30" s="135" t="s">
        <v>136</v>
      </c>
      <c r="C30" s="136"/>
      <c r="D30" s="137"/>
      <c r="E30" s="88">
        <v>0</v>
      </c>
      <c r="F30" s="11" t="s">
        <v>3</v>
      </c>
      <c r="G30" s="1"/>
    </row>
    <row r="31" spans="1:7" ht="15" customHeight="1" x14ac:dyDescent="0.25">
      <c r="A31" s="1"/>
      <c r="B31" s="32" t="s">
        <v>131</v>
      </c>
      <c r="C31" s="32"/>
      <c r="D31" s="32"/>
      <c r="E31" s="87"/>
      <c r="F31" s="20"/>
      <c r="G31" s="1"/>
    </row>
    <row r="32" spans="1:7" ht="15" customHeight="1" x14ac:dyDescent="0.25">
      <c r="A32" s="1"/>
      <c r="B32" s="135" t="s">
        <v>189</v>
      </c>
      <c r="C32" s="136"/>
      <c r="D32" s="137"/>
      <c r="E32" s="88">
        <v>0</v>
      </c>
      <c r="F32" s="11" t="s">
        <v>3</v>
      </c>
      <c r="G32" s="1"/>
    </row>
    <row r="33" spans="1:7" ht="15" customHeight="1" x14ac:dyDescent="0.25">
      <c r="A33" s="1"/>
      <c r="B33" s="34" t="s">
        <v>178</v>
      </c>
      <c r="C33" s="34"/>
      <c r="D33" s="34"/>
      <c r="E33" s="87"/>
      <c r="F33" s="20"/>
      <c r="G33" s="1"/>
    </row>
    <row r="34" spans="1:7" ht="15" customHeight="1" x14ac:dyDescent="0.25">
      <c r="A34" s="1"/>
      <c r="B34" s="79" t="s">
        <v>179</v>
      </c>
      <c r="C34" s="79"/>
      <c r="D34" s="79"/>
      <c r="E34" s="88">
        <f>'Fane 8. Skattesagen'!G11</f>
        <v>0</v>
      </c>
      <c r="F34" s="11" t="s">
        <v>3</v>
      </c>
      <c r="G34" s="1"/>
    </row>
    <row r="35" spans="1:7" x14ac:dyDescent="0.25">
      <c r="A35" s="1"/>
      <c r="B35" s="46" t="s">
        <v>29</v>
      </c>
      <c r="C35" s="48"/>
      <c r="D35" s="48"/>
      <c r="E35" s="90">
        <f>E20+E22+E24+E28+E30+E32+E34</f>
        <v>42730833.154307447</v>
      </c>
      <c r="F35" s="47" t="s">
        <v>3</v>
      </c>
      <c r="G35" s="1"/>
    </row>
    <row r="36" spans="1:7" ht="27" customHeight="1" x14ac:dyDescent="0.25">
      <c r="A36" s="1"/>
      <c r="B36" s="132" t="s">
        <v>202</v>
      </c>
      <c r="C36" s="133"/>
      <c r="D36" s="133"/>
      <c r="E36" s="133"/>
      <c r="F36" s="13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L0i0a0p/sozRiLczeODPoy4TO35YcabJxLqKf4EUenYYNmflOAFlx5RluVo1XqyyOZbCh9brXQGCj1sUenFjrA==" saltValue="gETgQ76PNYCIfFUNIbU5kw=="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22" t="s">
        <v>99</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50" t="s">
        <v>154</v>
      </c>
      <c r="C4" s="151"/>
      <c r="D4" s="151"/>
      <c r="E4" s="151"/>
      <c r="F4" s="151"/>
      <c r="G4" s="151"/>
      <c r="H4" s="153"/>
      <c r="I4" s="1"/>
    </row>
    <row r="5" spans="1:9" x14ac:dyDescent="0.25">
      <c r="A5" s="1"/>
      <c r="B5" s="144" t="s">
        <v>155</v>
      </c>
      <c r="C5" s="145"/>
      <c r="D5" s="145"/>
      <c r="E5" s="145"/>
      <c r="F5" s="146"/>
      <c r="G5" s="24">
        <v>23174785</v>
      </c>
      <c r="H5" s="14" t="s">
        <v>3</v>
      </c>
      <c r="I5" s="1"/>
    </row>
    <row r="6" spans="1:9" ht="15" customHeight="1" x14ac:dyDescent="0.25">
      <c r="A6" s="1"/>
      <c r="B6" s="132" t="s">
        <v>156</v>
      </c>
      <c r="C6" s="133"/>
      <c r="D6" s="133"/>
      <c r="E6" s="133"/>
      <c r="F6" s="134"/>
      <c r="G6" s="91">
        <v>0</v>
      </c>
      <c r="H6" s="14" t="s">
        <v>3</v>
      </c>
      <c r="I6" s="1"/>
    </row>
    <row r="7" spans="1:9" x14ac:dyDescent="0.25">
      <c r="A7" s="1"/>
      <c r="B7" s="144" t="s">
        <v>157</v>
      </c>
      <c r="C7" s="145"/>
      <c r="D7" s="145"/>
      <c r="E7" s="145"/>
      <c r="F7" s="146"/>
      <c r="G7" s="91">
        <f>SUM(G5:G6)*'Fane 15. Nøgletal'!C31</f>
        <v>463495.7</v>
      </c>
      <c r="H7" s="14" t="s">
        <v>3</v>
      </c>
      <c r="I7" s="1"/>
    </row>
    <row r="8" spans="1:9" x14ac:dyDescent="0.25">
      <c r="A8" s="1"/>
      <c r="B8" s="32"/>
      <c r="C8" s="33"/>
      <c r="D8" s="33"/>
      <c r="E8" s="33"/>
      <c r="F8" s="33"/>
      <c r="G8" s="92"/>
      <c r="H8" s="20"/>
      <c r="I8" s="1"/>
    </row>
    <row r="9" spans="1:9" x14ac:dyDescent="0.25">
      <c r="A9" s="1"/>
      <c r="B9" s="1"/>
      <c r="C9" s="1"/>
      <c r="D9" s="1"/>
      <c r="E9" s="1"/>
      <c r="F9" s="1"/>
      <c r="G9" s="93"/>
      <c r="H9" s="1"/>
      <c r="I9" s="1"/>
    </row>
    <row r="10" spans="1:9" x14ac:dyDescent="0.25">
      <c r="A10" s="1"/>
      <c r="B10" s="150" t="s">
        <v>49</v>
      </c>
      <c r="C10" s="151"/>
      <c r="D10" s="151"/>
      <c r="E10" s="151"/>
      <c r="F10" s="151"/>
      <c r="G10" s="152"/>
      <c r="H10" s="153"/>
      <c r="I10" s="1"/>
    </row>
    <row r="11" spans="1:9" x14ac:dyDescent="0.25">
      <c r="A11" s="1"/>
      <c r="B11" s="144" t="s">
        <v>158</v>
      </c>
      <c r="C11" s="145"/>
      <c r="D11" s="145"/>
      <c r="E11" s="145"/>
      <c r="F11" s="146"/>
      <c r="G11" s="91">
        <f>(G5-G7)*(1+'Fane 15. Nøgletal'!C10)</f>
        <v>23108736.862750001</v>
      </c>
      <c r="H11" s="14" t="s">
        <v>3</v>
      </c>
      <c r="I11" s="1"/>
    </row>
    <row r="12" spans="1:9" x14ac:dyDescent="0.25">
      <c r="A12" s="1"/>
      <c r="B12" s="144" t="s">
        <v>110</v>
      </c>
      <c r="C12" s="145"/>
      <c r="D12" s="145"/>
      <c r="E12" s="145"/>
      <c r="F12" s="146"/>
      <c r="G12" s="91">
        <v>-0.24099721845239402</v>
      </c>
      <c r="H12" s="14" t="s">
        <v>3</v>
      </c>
      <c r="I12" s="1"/>
    </row>
    <row r="13" spans="1:9" x14ac:dyDescent="0.25">
      <c r="A13" s="1"/>
      <c r="B13" s="132" t="s">
        <v>108</v>
      </c>
      <c r="C13" s="133"/>
      <c r="D13" s="133"/>
      <c r="E13" s="133"/>
      <c r="F13" s="134"/>
      <c r="G13" s="91">
        <v>0</v>
      </c>
      <c r="H13" s="14" t="s">
        <v>3</v>
      </c>
      <c r="I13" s="1"/>
    </row>
    <row r="14" spans="1:9" x14ac:dyDescent="0.25">
      <c r="A14" s="1"/>
      <c r="B14" s="156" t="s">
        <v>159</v>
      </c>
      <c r="C14" s="154"/>
      <c r="D14" s="154"/>
      <c r="E14" s="154"/>
      <c r="F14" s="155"/>
      <c r="G14" s="91">
        <v>0</v>
      </c>
      <c r="H14" s="14" t="s">
        <v>3</v>
      </c>
      <c r="I14" s="1"/>
    </row>
    <row r="15" spans="1:9" x14ac:dyDescent="0.25">
      <c r="A15" s="1"/>
      <c r="B15" s="144" t="s">
        <v>42</v>
      </c>
      <c r="C15" s="145"/>
      <c r="D15" s="145"/>
      <c r="E15" s="145"/>
      <c r="F15" s="146"/>
      <c r="G15" s="91">
        <f>SUM(G11:G14)*'Fane 15. Nøgletal'!C31</f>
        <v>462174.73243505566</v>
      </c>
      <c r="H15" s="14" t="s">
        <v>3</v>
      </c>
      <c r="I15" s="1"/>
    </row>
    <row r="16" spans="1:9" x14ac:dyDescent="0.25">
      <c r="A16" s="1"/>
      <c r="B16" s="32"/>
      <c r="C16" s="33"/>
      <c r="D16" s="33"/>
      <c r="E16" s="33"/>
      <c r="F16" s="33"/>
      <c r="G16" s="92"/>
      <c r="H16" s="20"/>
      <c r="I16" s="1"/>
    </row>
    <row r="17" spans="1:9" x14ac:dyDescent="0.25">
      <c r="A17" s="1"/>
      <c r="B17" s="1"/>
      <c r="C17" s="1"/>
      <c r="D17" s="1"/>
      <c r="E17" s="1"/>
      <c r="F17" s="1"/>
      <c r="G17" s="93"/>
      <c r="H17" s="1"/>
      <c r="I17" s="1"/>
    </row>
    <row r="18" spans="1:9" x14ac:dyDescent="0.25">
      <c r="A18" s="1"/>
      <c r="B18" s="150" t="s">
        <v>50</v>
      </c>
      <c r="C18" s="151"/>
      <c r="D18" s="151"/>
      <c r="E18" s="151"/>
      <c r="F18" s="151"/>
      <c r="G18" s="152"/>
      <c r="H18" s="153"/>
      <c r="I18" s="1"/>
    </row>
    <row r="19" spans="1:9" x14ac:dyDescent="0.25">
      <c r="A19" s="1"/>
      <c r="B19" s="144" t="s">
        <v>43</v>
      </c>
      <c r="C19" s="145"/>
      <c r="D19" s="145"/>
      <c r="E19" s="145"/>
      <c r="F19" s="146"/>
      <c r="G19" s="91">
        <f>(G11+G12+G14-G15)*(1+'Fane 15. Nøgletal'!C10)</f>
        <v>23042876.722380791</v>
      </c>
      <c r="H19" s="14" t="s">
        <v>3</v>
      </c>
      <c r="I19" s="1"/>
    </row>
    <row r="20" spans="1:9" x14ac:dyDescent="0.25">
      <c r="A20" s="1"/>
      <c r="B20" s="156" t="s">
        <v>44</v>
      </c>
      <c r="C20" s="154"/>
      <c r="D20" s="154"/>
      <c r="E20" s="154"/>
      <c r="F20" s="155"/>
      <c r="G20" s="91">
        <v>0</v>
      </c>
      <c r="H20" s="14" t="s">
        <v>3</v>
      </c>
      <c r="I20" s="1"/>
    </row>
    <row r="21" spans="1:9" x14ac:dyDescent="0.25">
      <c r="A21" s="1"/>
      <c r="B21" s="144" t="s">
        <v>45</v>
      </c>
      <c r="C21" s="145"/>
      <c r="D21" s="145"/>
      <c r="E21" s="145"/>
      <c r="F21" s="146"/>
      <c r="G21" s="91">
        <f>(G19+G20)*'Fane 15. Nøgletal'!C31</f>
        <v>460857.53444761585</v>
      </c>
      <c r="H21" s="14" t="s">
        <v>3</v>
      </c>
      <c r="I21" s="1"/>
    </row>
    <row r="22" spans="1:9" x14ac:dyDescent="0.25">
      <c r="A22" s="1"/>
      <c r="B22" s="32"/>
      <c r="C22" s="33"/>
      <c r="D22" s="33"/>
      <c r="E22" s="33"/>
      <c r="F22" s="33"/>
      <c r="G22" s="92"/>
      <c r="H22" s="20"/>
      <c r="I22" s="1"/>
    </row>
    <row r="23" spans="1:9" x14ac:dyDescent="0.25">
      <c r="A23" s="1"/>
      <c r="B23" s="1"/>
      <c r="C23" s="1"/>
      <c r="D23" s="1"/>
      <c r="E23" s="1"/>
      <c r="F23" s="1"/>
      <c r="G23" s="93"/>
      <c r="H23" s="1"/>
      <c r="I23" s="1"/>
    </row>
    <row r="24" spans="1:9" x14ac:dyDescent="0.25">
      <c r="A24" s="1"/>
      <c r="B24" s="150" t="s">
        <v>51</v>
      </c>
      <c r="C24" s="151"/>
      <c r="D24" s="151"/>
      <c r="E24" s="151"/>
      <c r="F24" s="151"/>
      <c r="G24" s="152"/>
      <c r="H24" s="153"/>
      <c r="I24" s="1"/>
    </row>
    <row r="25" spans="1:9" x14ac:dyDescent="0.25">
      <c r="A25" s="1"/>
      <c r="B25" s="144" t="s">
        <v>46</v>
      </c>
      <c r="C25" s="145"/>
      <c r="D25" s="145"/>
      <c r="E25" s="145"/>
      <c r="F25" s="146"/>
      <c r="G25" s="91">
        <f>G19*(1-'Fane 15. Nøgletal'!C31)*(1+'Fane 15. Nøgletal'!C10)+G20*(1-'Fane 15. Nøgletal'!C31)*(1+'Fane 15. Nøgletal'!C11)</f>
        <v>22977204.523722004</v>
      </c>
      <c r="H25" s="14" t="s">
        <v>3</v>
      </c>
      <c r="I25" s="1"/>
    </row>
    <row r="26" spans="1:9" x14ac:dyDescent="0.25">
      <c r="A26" s="1"/>
      <c r="B26" s="147" t="s">
        <v>160</v>
      </c>
      <c r="C26" s="148"/>
      <c r="D26" s="148"/>
      <c r="E26" s="148"/>
      <c r="F26" s="149"/>
      <c r="G26" s="91">
        <f>G20*(1-'Fane 15. Nøgletal'!C31)*(1+'Fane 15. Nøgletal'!C11)</f>
        <v>0</v>
      </c>
      <c r="H26" s="14" t="s">
        <v>3</v>
      </c>
      <c r="I26" s="1"/>
    </row>
    <row r="27" spans="1:9" x14ac:dyDescent="0.25">
      <c r="A27" s="1"/>
      <c r="B27" s="156" t="s">
        <v>47</v>
      </c>
      <c r="C27" s="154"/>
      <c r="D27" s="154"/>
      <c r="E27" s="154"/>
      <c r="F27" s="155"/>
      <c r="G27" s="91">
        <v>0</v>
      </c>
      <c r="H27" s="14" t="s">
        <v>3</v>
      </c>
      <c r="I27" s="1"/>
    </row>
    <row r="28" spans="1:9" x14ac:dyDescent="0.25">
      <c r="A28" s="1"/>
      <c r="B28" s="144" t="s">
        <v>48</v>
      </c>
      <c r="C28" s="145"/>
      <c r="D28" s="145"/>
      <c r="E28" s="145"/>
      <c r="F28" s="146"/>
      <c r="G28" s="91">
        <f>SUM(G25,G27)*'Fane 15. Nøgletal'!C31</f>
        <v>459544.09047444008</v>
      </c>
      <c r="H28" s="14" t="s">
        <v>3</v>
      </c>
      <c r="I28" s="1"/>
    </row>
    <row r="29" spans="1:9" x14ac:dyDescent="0.25">
      <c r="A29" s="1"/>
      <c r="B29" s="32"/>
      <c r="C29" s="33"/>
      <c r="D29" s="33"/>
      <c r="E29" s="33"/>
      <c r="F29" s="33"/>
      <c r="G29" s="92"/>
      <c r="H29" s="20"/>
      <c r="I29" s="1"/>
    </row>
    <row r="30" spans="1:9" x14ac:dyDescent="0.25">
      <c r="A30" s="1"/>
      <c r="B30" s="1"/>
      <c r="C30" s="1"/>
      <c r="D30" s="1"/>
      <c r="E30" s="1"/>
      <c r="F30" s="1"/>
      <c r="G30" s="93"/>
      <c r="H30" s="1"/>
      <c r="I30" s="1"/>
    </row>
    <row r="31" spans="1:9" x14ac:dyDescent="0.25">
      <c r="A31" s="1"/>
      <c r="B31" s="150" t="s">
        <v>52</v>
      </c>
      <c r="C31" s="151"/>
      <c r="D31" s="151"/>
      <c r="E31" s="151"/>
      <c r="F31" s="151"/>
      <c r="G31" s="152"/>
      <c r="H31" s="153"/>
      <c r="I31" s="1"/>
    </row>
    <row r="32" spans="1:9" x14ac:dyDescent="0.25">
      <c r="A32" s="1"/>
      <c r="B32" s="144" t="s">
        <v>53</v>
      </c>
      <c r="C32" s="145"/>
      <c r="D32" s="145"/>
      <c r="E32" s="145"/>
      <c r="F32" s="146"/>
      <c r="G32" s="91">
        <f>(G25-G26)*(1-'Fane 15. Nøgletal'!C31)*(1+'Fane 15. Nøgletal'!C10)+G26*(1-'Fane 15. Nøgletal'!C31)*(1+'Fane 15. Nøgletal'!C11)+G27*(1-'Fane 15. Nøgletal'!C31)*(1+'Fane 15. Nøgletal'!C12)</f>
        <v>22911719.490829397</v>
      </c>
      <c r="H32" s="14" t="s">
        <v>3</v>
      </c>
      <c r="I32" s="1"/>
    </row>
    <row r="33" spans="1:9" x14ac:dyDescent="0.25">
      <c r="A33" s="1"/>
      <c r="B33" s="147" t="s">
        <v>160</v>
      </c>
      <c r="C33" s="154"/>
      <c r="D33" s="154"/>
      <c r="E33" s="154"/>
      <c r="F33" s="155"/>
      <c r="G33" s="91">
        <f>G26*(1-'Fane 15. Nøgletal'!C31)*(1+'Fane 15. Nøgletal'!C11)</f>
        <v>0</v>
      </c>
      <c r="H33" s="14" t="s">
        <v>3</v>
      </c>
      <c r="I33" s="1"/>
    </row>
    <row r="34" spans="1:9" x14ac:dyDescent="0.25">
      <c r="A34" s="1"/>
      <c r="B34" s="147" t="s">
        <v>107</v>
      </c>
      <c r="C34" s="154"/>
      <c r="D34" s="154"/>
      <c r="E34" s="154"/>
      <c r="F34" s="155"/>
      <c r="G34" s="91">
        <f>G27*(1-'Fane 15. Nøgletal'!C31)*(1+'Fane 15. Nøgletal'!C12)</f>
        <v>0</v>
      </c>
      <c r="H34" s="14" t="s">
        <v>3</v>
      </c>
      <c r="I34" s="1"/>
    </row>
    <row r="35" spans="1:9" x14ac:dyDescent="0.25">
      <c r="A35" s="1"/>
      <c r="B35" s="144" t="s">
        <v>123</v>
      </c>
      <c r="C35" s="145"/>
      <c r="D35" s="145"/>
      <c r="E35" s="145"/>
      <c r="F35" s="146"/>
      <c r="G35" s="91">
        <v>0</v>
      </c>
      <c r="H35" s="14" t="s">
        <v>3</v>
      </c>
      <c r="I35" s="1"/>
    </row>
    <row r="36" spans="1:9" x14ac:dyDescent="0.25">
      <c r="A36" s="1"/>
      <c r="B36" s="144" t="s">
        <v>54</v>
      </c>
      <c r="C36" s="145"/>
      <c r="D36" s="145"/>
      <c r="E36" s="145"/>
      <c r="F36" s="146"/>
      <c r="G36" s="91">
        <f>SUM(G32,G35)*'Fane 15. Nøgletal'!C31</f>
        <v>458234.38981658797</v>
      </c>
      <c r="H36" s="14" t="s">
        <v>3</v>
      </c>
      <c r="I36" s="1"/>
    </row>
    <row r="37" spans="1:9" x14ac:dyDescent="0.25">
      <c r="A37" s="1"/>
      <c r="B37" s="32"/>
      <c r="C37" s="33"/>
      <c r="D37" s="33"/>
      <c r="E37" s="33"/>
      <c r="F37" s="33"/>
      <c r="G37" s="92"/>
      <c r="H37" s="20"/>
      <c r="I37" s="1"/>
    </row>
    <row r="38" spans="1:9" x14ac:dyDescent="0.25">
      <c r="A38" s="1"/>
      <c r="B38" s="1"/>
      <c r="C38" s="1"/>
      <c r="D38" s="1"/>
      <c r="E38" s="1"/>
      <c r="F38" s="1"/>
      <c r="G38" s="93"/>
      <c r="H38" s="1"/>
      <c r="I38" s="1"/>
    </row>
    <row r="39" spans="1:9" x14ac:dyDescent="0.25">
      <c r="A39" s="1"/>
      <c r="B39" s="150" t="s">
        <v>139</v>
      </c>
      <c r="C39" s="151"/>
      <c r="D39" s="151"/>
      <c r="E39" s="151"/>
      <c r="F39" s="151"/>
      <c r="G39" s="152"/>
      <c r="H39" s="153"/>
      <c r="I39" s="1"/>
    </row>
    <row r="40" spans="1:9" x14ac:dyDescent="0.25">
      <c r="A40" s="1"/>
      <c r="B40" s="144" t="s">
        <v>166</v>
      </c>
      <c r="C40" s="145"/>
      <c r="D40" s="145"/>
      <c r="E40" s="145"/>
      <c r="F40" s="146"/>
      <c r="G40" s="91">
        <f>(SUM(G32,G35)-G36)*(1+'Fane 15. Nøgletal'!C14)</f>
        <v>22527581.601846151</v>
      </c>
      <c r="H40" s="14" t="s">
        <v>3</v>
      </c>
      <c r="I40" s="1"/>
    </row>
    <row r="41" spans="1:9" x14ac:dyDescent="0.25">
      <c r="A41" s="1"/>
      <c r="B41" s="144" t="s">
        <v>165</v>
      </c>
      <c r="C41" s="145"/>
      <c r="D41" s="145"/>
      <c r="E41" s="145"/>
      <c r="F41" s="146"/>
      <c r="G41" s="94">
        <v>0</v>
      </c>
      <c r="H41" s="14" t="s">
        <v>3</v>
      </c>
      <c r="I41" s="1"/>
    </row>
    <row r="42" spans="1:9" x14ac:dyDescent="0.25">
      <c r="A42" s="1"/>
      <c r="B42" s="144" t="s">
        <v>164</v>
      </c>
      <c r="C42" s="145"/>
      <c r="D42" s="145"/>
      <c r="E42" s="145"/>
      <c r="F42" s="146"/>
      <c r="G42" s="91">
        <f>(G40+G41)*'Fane 15. Nøgletal'!C31</f>
        <v>450551.63203692302</v>
      </c>
      <c r="H42" s="14" t="s">
        <v>3</v>
      </c>
      <c r="I42" s="1"/>
    </row>
    <row r="43" spans="1:9" x14ac:dyDescent="0.25">
      <c r="A43" s="1"/>
      <c r="B43" s="32"/>
      <c r="C43" s="33"/>
      <c r="D43" s="33"/>
      <c r="E43" s="33"/>
      <c r="F43" s="33"/>
      <c r="G43" s="92"/>
      <c r="H43" s="20"/>
      <c r="I43" s="1"/>
    </row>
    <row r="44" spans="1:9" x14ac:dyDescent="0.25">
      <c r="A44" s="1"/>
      <c r="B44" s="1"/>
      <c r="C44" s="1"/>
      <c r="D44" s="1"/>
      <c r="E44" s="1"/>
      <c r="F44" s="1"/>
      <c r="G44" s="93"/>
      <c r="H44" s="1"/>
      <c r="I44" s="1"/>
    </row>
    <row r="45" spans="1:9" x14ac:dyDescent="0.25">
      <c r="A45" s="1"/>
      <c r="B45" s="150" t="s">
        <v>151</v>
      </c>
      <c r="C45" s="151"/>
      <c r="D45" s="151"/>
      <c r="E45" s="151"/>
      <c r="F45" s="151"/>
      <c r="G45" s="152"/>
      <c r="H45" s="153"/>
      <c r="I45" s="1"/>
    </row>
    <row r="46" spans="1:9" x14ac:dyDescent="0.25">
      <c r="A46" s="1"/>
      <c r="B46" s="144" t="s">
        <v>175</v>
      </c>
      <c r="C46" s="145"/>
      <c r="D46" s="145"/>
      <c r="E46" s="145"/>
      <c r="F46" s="146"/>
      <c r="G46" s="91">
        <f>(G40+G41-G42)*(1+'Fane 15. Nøgletal'!C14)</f>
        <v>22149884.168709598</v>
      </c>
      <c r="H46" s="14" t="s">
        <v>3</v>
      </c>
      <c r="I46" s="1"/>
    </row>
    <row r="47" spans="1:9" x14ac:dyDescent="0.25">
      <c r="A47" s="1"/>
      <c r="B47" s="147" t="s">
        <v>237</v>
      </c>
      <c r="C47" s="148"/>
      <c r="D47" s="148"/>
      <c r="E47" s="148"/>
      <c r="F47" s="149"/>
      <c r="G47" s="94">
        <f>('Fane 2.1. Økonomisk ramme 2023'!C12+'Fane 2.1. Økonomisk ramme 2023'!C14+'Fane 2.1. Økonomisk ramme 2023'!C16)*(1+'Fane 15. Nøgletal'!C15)</f>
        <v>-688074.6812961601</v>
      </c>
      <c r="H47" s="14" t="s">
        <v>3</v>
      </c>
      <c r="I47" s="1"/>
    </row>
    <row r="48" spans="1:9" x14ac:dyDescent="0.25">
      <c r="A48" s="1"/>
      <c r="B48" s="144" t="s">
        <v>176</v>
      </c>
      <c r="C48" s="145"/>
      <c r="D48" s="145"/>
      <c r="E48" s="145"/>
      <c r="F48" s="146"/>
      <c r="G48" s="91">
        <f>G46*'Fane 15. Nøgletal'!C31+'Fane 4.1. Gen. krav - drift'!G47*'Fane 15. Nøgletal'!C31</f>
        <v>429236.18974826881</v>
      </c>
      <c r="H48" s="14" t="s">
        <v>3</v>
      </c>
      <c r="I48" s="1"/>
    </row>
    <row r="49" spans="1:9" x14ac:dyDescent="0.25">
      <c r="A49" s="1"/>
      <c r="B49" s="32"/>
      <c r="C49" s="33"/>
      <c r="D49" s="33"/>
      <c r="E49" s="33"/>
      <c r="F49" s="33"/>
      <c r="G49" s="92"/>
      <c r="H49" s="20"/>
      <c r="I49" s="1"/>
    </row>
    <row r="50" spans="1:9" x14ac:dyDescent="0.25">
      <c r="A50" s="1"/>
      <c r="B50" s="31"/>
      <c r="C50" s="31"/>
      <c r="D50" s="31"/>
      <c r="E50" s="31"/>
      <c r="F50" s="31"/>
      <c r="G50" s="95"/>
      <c r="H50" s="31"/>
      <c r="I50" s="1"/>
    </row>
    <row r="51" spans="1:9" x14ac:dyDescent="0.25">
      <c r="A51" s="1"/>
      <c r="B51" s="31"/>
      <c r="C51" s="31"/>
      <c r="D51" s="31"/>
      <c r="E51" s="31"/>
      <c r="F51" s="31"/>
      <c r="G51" s="95"/>
      <c r="H51" s="31"/>
      <c r="I51" s="1"/>
    </row>
    <row r="52" spans="1:9" x14ac:dyDescent="0.25">
      <c r="A52" s="1"/>
      <c r="B52" s="150" t="s">
        <v>124</v>
      </c>
      <c r="C52" s="151"/>
      <c r="D52" s="151"/>
      <c r="E52" s="151"/>
      <c r="F52" s="151"/>
      <c r="G52" s="152"/>
      <c r="H52" s="153"/>
      <c r="I52" s="1"/>
    </row>
    <row r="53" spans="1:9" x14ac:dyDescent="0.25">
      <c r="A53" s="1"/>
      <c r="B53" s="144" t="s">
        <v>125</v>
      </c>
      <c r="C53" s="145"/>
      <c r="D53" s="145"/>
      <c r="E53" s="145"/>
      <c r="F53" s="146"/>
      <c r="G53" s="91">
        <f>(G46+G47-G48)*(1+'Fane 15. Nøgletal'!C15)</f>
        <v>21781332.907062054</v>
      </c>
      <c r="H53" s="14" t="s">
        <v>3</v>
      </c>
      <c r="I53" s="1"/>
    </row>
    <row r="54" spans="1:9" x14ac:dyDescent="0.25">
      <c r="A54" s="1"/>
      <c r="B54" s="144" t="s">
        <v>126</v>
      </c>
      <c r="C54" s="145"/>
      <c r="D54" s="145"/>
      <c r="E54" s="145"/>
      <c r="F54" s="146"/>
      <c r="G54" s="91">
        <f>(G53)*'Fane 15. Nøgletal'!C31</f>
        <v>435626.65814124106</v>
      </c>
      <c r="H54" s="14" t="s">
        <v>3</v>
      </c>
      <c r="I54" s="1"/>
    </row>
    <row r="55" spans="1:9" x14ac:dyDescent="0.25">
      <c r="A55" s="1"/>
      <c r="B55" s="32"/>
      <c r="C55" s="33"/>
      <c r="D55" s="33"/>
      <c r="E55" s="33"/>
      <c r="F55" s="33"/>
      <c r="G55" s="92"/>
      <c r="H55" s="20"/>
      <c r="I55" s="1"/>
    </row>
    <row r="56" spans="1:9" x14ac:dyDescent="0.25">
      <c r="A56" s="1"/>
      <c r="B56" s="1"/>
      <c r="C56" s="1"/>
      <c r="D56" s="1"/>
      <c r="E56" s="1"/>
      <c r="F56" s="1"/>
      <c r="G56" s="93"/>
      <c r="H56" s="1"/>
      <c r="I56" s="1"/>
    </row>
    <row r="57" spans="1:9" x14ac:dyDescent="0.25">
      <c r="A57" s="1"/>
      <c r="B57" s="75" t="s">
        <v>152</v>
      </c>
      <c r="C57" s="76"/>
      <c r="D57" s="76"/>
      <c r="E57" s="76"/>
      <c r="F57" s="76"/>
      <c r="G57" s="96"/>
      <c r="H57" s="77"/>
      <c r="I57" s="1"/>
    </row>
    <row r="58" spans="1:9" x14ac:dyDescent="0.25">
      <c r="A58" s="1"/>
      <c r="B58" s="72" t="s">
        <v>161</v>
      </c>
      <c r="C58" s="73"/>
      <c r="D58" s="73"/>
      <c r="E58" s="73"/>
      <c r="F58" s="74"/>
      <c r="G58" s="91">
        <f>(G53-G54)*(1+'Fane 15. Nøgletal'!C15)</f>
        <v>22105613.391382396</v>
      </c>
      <c r="H58" s="14" t="s">
        <v>3</v>
      </c>
      <c r="I58" s="1"/>
    </row>
    <row r="59" spans="1:9" x14ac:dyDescent="0.25">
      <c r="A59" s="1"/>
      <c r="B59" s="72" t="s">
        <v>162</v>
      </c>
      <c r="C59" s="73"/>
      <c r="D59" s="73"/>
      <c r="E59" s="73"/>
      <c r="F59" s="74"/>
      <c r="G59" s="91">
        <f>(G58)*'Fane 15. Nøgletal'!C31</f>
        <v>442112.26782764791</v>
      </c>
      <c r="H59" s="14" t="s">
        <v>3</v>
      </c>
      <c r="I59" s="1"/>
    </row>
    <row r="60" spans="1:9" x14ac:dyDescent="0.25">
      <c r="A60" s="1"/>
      <c r="B60" s="32"/>
      <c r="C60" s="33"/>
      <c r="D60" s="33"/>
      <c r="E60" s="33"/>
      <c r="F60" s="33"/>
      <c r="G60" s="92"/>
      <c r="H60" s="20"/>
      <c r="I60" s="1"/>
    </row>
    <row r="61" spans="1:9" x14ac:dyDescent="0.25">
      <c r="A61" s="1"/>
      <c r="B61" s="1"/>
      <c r="C61" s="1"/>
      <c r="D61" s="1"/>
      <c r="E61" s="1"/>
      <c r="F61" s="1"/>
      <c r="G61" s="93"/>
      <c r="H61" s="1"/>
      <c r="I61" s="1"/>
    </row>
    <row r="62" spans="1:9" x14ac:dyDescent="0.25">
      <c r="A62" s="1"/>
      <c r="B62" s="75" t="s">
        <v>203</v>
      </c>
      <c r="C62" s="76"/>
      <c r="D62" s="76"/>
      <c r="E62" s="76"/>
      <c r="F62" s="76"/>
      <c r="G62" s="96"/>
      <c r="H62" s="77"/>
      <c r="I62" s="1"/>
    </row>
    <row r="63" spans="1:9" x14ac:dyDescent="0.25">
      <c r="A63" s="1"/>
      <c r="B63" s="72" t="s">
        <v>204</v>
      </c>
      <c r="C63" s="73"/>
      <c r="D63" s="73"/>
      <c r="E63" s="73"/>
      <c r="F63" s="74"/>
      <c r="G63" s="91">
        <f>(G58-G59)*(1+'Fane 15. Nøgletal'!C15)</f>
        <v>22434721.763553299</v>
      </c>
      <c r="H63" s="14" t="s">
        <v>3</v>
      </c>
      <c r="I63" s="1"/>
    </row>
    <row r="64" spans="1:9" x14ac:dyDescent="0.25">
      <c r="A64" s="1"/>
      <c r="B64" s="72" t="s">
        <v>205</v>
      </c>
      <c r="C64" s="73"/>
      <c r="D64" s="73"/>
      <c r="E64" s="73"/>
      <c r="F64" s="74"/>
      <c r="G64" s="91">
        <f>(G63)*'Fane 15. Nøgletal'!C31</f>
        <v>448694.43527106597</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dqwLFe9Mh+RUY9GQ6OVU3yPHNmKyyPAfVg9Bx95KqSMCTDQSnK6OI92NUdMSsNTcQY+gZQAQWpMFZw7zjD581A==" saltValue="WPZ8+/zXb/V14s5wBbRGkg=="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3.140625" style="2" customWidth="1"/>
    <col min="2" max="5" width="9" style="2"/>
    <col min="6" max="6" width="29.85546875" style="2" customWidth="1"/>
    <col min="7" max="7" width="11" style="2" customWidth="1"/>
    <col min="8" max="8" width="3.140625" style="2" customWidth="1"/>
    <col min="9" max="9" width="3" style="2" customWidth="1"/>
    <col min="10"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4" t="s">
        <v>168</v>
      </c>
      <c r="C6" s="145"/>
      <c r="D6" s="145"/>
      <c r="E6" s="145"/>
      <c r="F6" s="146"/>
      <c r="G6" s="91">
        <v>15257255</v>
      </c>
      <c r="H6" s="14" t="s">
        <v>3</v>
      </c>
      <c r="I6" s="1"/>
    </row>
    <row r="7" spans="1:9" x14ac:dyDescent="0.25">
      <c r="A7" s="1"/>
      <c r="B7" s="144" t="s">
        <v>163</v>
      </c>
      <c r="C7" s="145"/>
      <c r="D7" s="145"/>
      <c r="E7" s="145"/>
      <c r="F7" s="146"/>
      <c r="G7" s="91">
        <f>G6*'Fane 15. Nøgletal'!C20</f>
        <v>138841.02050000001</v>
      </c>
      <c r="H7" s="14" t="s">
        <v>3</v>
      </c>
      <c r="I7" s="1"/>
    </row>
    <row r="8" spans="1:9" x14ac:dyDescent="0.25">
      <c r="A8" s="1"/>
      <c r="B8" s="32"/>
      <c r="C8" s="33"/>
      <c r="D8" s="33"/>
      <c r="E8" s="33"/>
      <c r="F8" s="33"/>
      <c r="G8" s="87"/>
      <c r="H8" s="20"/>
      <c r="I8" s="1"/>
    </row>
    <row r="9" spans="1:9" x14ac:dyDescent="0.25">
      <c r="A9" s="1"/>
      <c r="B9" s="1"/>
      <c r="C9" s="1"/>
      <c r="D9" s="1"/>
      <c r="E9" s="1"/>
      <c r="F9" s="1"/>
      <c r="G9" s="97"/>
      <c r="H9" s="1"/>
      <c r="I9" s="1"/>
    </row>
    <row r="10" spans="1:9" x14ac:dyDescent="0.25">
      <c r="A10" s="1"/>
      <c r="B10" s="150" t="s">
        <v>55</v>
      </c>
      <c r="C10" s="151"/>
      <c r="D10" s="151"/>
      <c r="E10" s="151"/>
      <c r="F10" s="151"/>
      <c r="G10" s="152"/>
      <c r="H10" s="153"/>
      <c r="I10" s="1"/>
    </row>
    <row r="11" spans="1:9" x14ac:dyDescent="0.25">
      <c r="A11" s="1"/>
      <c r="B11" s="144" t="s">
        <v>169</v>
      </c>
      <c r="C11" s="145"/>
      <c r="D11" s="145"/>
      <c r="E11" s="145"/>
      <c r="F11" s="146"/>
      <c r="G11" s="91">
        <f>(G6-G7)*(1+'Fane 15. Nøgletal'!C10)</f>
        <v>15382986.224141251</v>
      </c>
      <c r="H11" s="14" t="s">
        <v>3</v>
      </c>
      <c r="I11" s="1"/>
    </row>
    <row r="12" spans="1:9" x14ac:dyDescent="0.25">
      <c r="A12" s="1"/>
      <c r="B12" s="144" t="s">
        <v>111</v>
      </c>
      <c r="C12" s="145"/>
      <c r="D12" s="145"/>
      <c r="E12" s="145"/>
      <c r="F12" s="146"/>
      <c r="G12" s="91">
        <v>154222.37654257682</v>
      </c>
      <c r="H12" s="14" t="s">
        <v>3</v>
      </c>
      <c r="I12" s="1"/>
    </row>
    <row r="13" spans="1:9" x14ac:dyDescent="0.25">
      <c r="A13" s="1"/>
      <c r="B13" s="156" t="s">
        <v>170</v>
      </c>
      <c r="C13" s="154"/>
      <c r="D13" s="154"/>
      <c r="E13" s="154"/>
      <c r="F13" s="155"/>
      <c r="G13" s="91">
        <v>0</v>
      </c>
      <c r="H13" s="14" t="s">
        <v>3</v>
      </c>
      <c r="I13" s="1"/>
    </row>
    <row r="14" spans="1:9" x14ac:dyDescent="0.25">
      <c r="A14" s="1"/>
      <c r="B14" s="144" t="s">
        <v>56</v>
      </c>
      <c r="C14" s="145"/>
      <c r="D14" s="145"/>
      <c r="E14" s="145"/>
      <c r="F14" s="146"/>
      <c r="G14" s="91">
        <f>SUM(G11:G13)*'Fane 15. Nøgletal'!C21</f>
        <v>275008.59223210375</v>
      </c>
      <c r="H14" s="14" t="s">
        <v>3</v>
      </c>
      <c r="I14" s="1"/>
    </row>
    <row r="15" spans="1:9" x14ac:dyDescent="0.25">
      <c r="A15" s="1"/>
      <c r="B15" s="32"/>
      <c r="C15" s="33"/>
      <c r="D15" s="33"/>
      <c r="E15" s="33"/>
      <c r="F15" s="33"/>
      <c r="G15" s="87"/>
      <c r="H15" s="20"/>
      <c r="I15" s="1"/>
    </row>
    <row r="16" spans="1:9" x14ac:dyDescent="0.25">
      <c r="A16" s="1"/>
      <c r="B16" s="1"/>
      <c r="C16" s="1"/>
      <c r="D16" s="1"/>
      <c r="E16" s="1"/>
      <c r="F16" s="1"/>
      <c r="G16" s="97"/>
      <c r="H16" s="1"/>
      <c r="I16" s="1"/>
    </row>
    <row r="17" spans="1:9" x14ac:dyDescent="0.25">
      <c r="A17" s="1"/>
      <c r="B17" s="150" t="s">
        <v>57</v>
      </c>
      <c r="C17" s="151"/>
      <c r="D17" s="151"/>
      <c r="E17" s="151"/>
      <c r="F17" s="151"/>
      <c r="G17" s="152"/>
      <c r="H17" s="153"/>
      <c r="I17" s="1"/>
    </row>
    <row r="18" spans="1:9" x14ac:dyDescent="0.25">
      <c r="A18" s="1"/>
      <c r="B18" s="144" t="s">
        <v>58</v>
      </c>
      <c r="C18" s="145"/>
      <c r="D18" s="145"/>
      <c r="E18" s="145"/>
      <c r="F18" s="146"/>
      <c r="G18" s="91">
        <f>(G11+G12+G13-G14)*(1+'Fane 15. Nøgletal'!C10)</f>
        <v>15529288.508599631</v>
      </c>
      <c r="H18" s="14" t="s">
        <v>3</v>
      </c>
      <c r="I18" s="1"/>
    </row>
    <row r="19" spans="1:9" x14ac:dyDescent="0.25">
      <c r="A19" s="1"/>
      <c r="B19" s="156" t="s">
        <v>59</v>
      </c>
      <c r="C19" s="154"/>
      <c r="D19" s="154"/>
      <c r="E19" s="154"/>
      <c r="F19" s="155"/>
      <c r="G19" s="91">
        <v>510373.98690110986</v>
      </c>
      <c r="H19" s="14" t="s">
        <v>3</v>
      </c>
      <c r="I19" s="1"/>
    </row>
    <row r="20" spans="1:9" x14ac:dyDescent="0.25">
      <c r="A20" s="1"/>
      <c r="B20" s="144" t="s">
        <v>60</v>
      </c>
      <c r="C20" s="145"/>
      <c r="D20" s="145"/>
      <c r="E20" s="145"/>
      <c r="F20" s="146"/>
      <c r="G20" s="91">
        <f>G18*'Fane 15. Nøgletal'!C21+G19*'Fane 15. Nøgletal'!C22</f>
        <v>279308.66028825316</v>
      </c>
      <c r="H20" s="14" t="s">
        <v>3</v>
      </c>
      <c r="I20" s="1"/>
    </row>
    <row r="21" spans="1:9" x14ac:dyDescent="0.25">
      <c r="A21" s="1"/>
      <c r="B21" s="32"/>
      <c r="C21" s="33"/>
      <c r="D21" s="33"/>
      <c r="E21" s="33"/>
      <c r="F21" s="33"/>
      <c r="G21" s="87"/>
      <c r="H21" s="20"/>
      <c r="I21" s="1"/>
    </row>
    <row r="22" spans="1:9" x14ac:dyDescent="0.25">
      <c r="A22" s="1"/>
      <c r="B22" s="1"/>
      <c r="C22" s="1"/>
      <c r="D22" s="1"/>
      <c r="E22" s="1"/>
      <c r="F22" s="1"/>
      <c r="G22" s="97"/>
      <c r="H22" s="1"/>
      <c r="I22" s="1"/>
    </row>
    <row r="23" spans="1:9" x14ac:dyDescent="0.25">
      <c r="A23" s="1"/>
      <c r="B23" s="150" t="s">
        <v>150</v>
      </c>
      <c r="C23" s="151"/>
      <c r="D23" s="151"/>
      <c r="E23" s="151"/>
      <c r="F23" s="151"/>
      <c r="G23" s="152"/>
      <c r="H23" s="153"/>
      <c r="I23" s="1"/>
    </row>
    <row r="24" spans="1:9" x14ac:dyDescent="0.25">
      <c r="A24" s="1"/>
      <c r="B24" s="144" t="s">
        <v>61</v>
      </c>
      <c r="C24" s="145"/>
      <c r="D24" s="145"/>
      <c r="E24" s="145"/>
      <c r="F24" s="146"/>
      <c r="G24" s="91">
        <f>G18*(1-'Fane 15. Nøgletal'!C21)*(1+'Fane 15. Nøgletal'!C10)+G19*(1-'Fane 15. Nøgletal'!C22)*(1+'Fane 15. Nøgletal'!C11)</f>
        <v>16035856.467088778</v>
      </c>
      <c r="H24" s="14" t="s">
        <v>3</v>
      </c>
      <c r="I24" s="1"/>
    </row>
    <row r="25" spans="1:9" x14ac:dyDescent="0.25">
      <c r="A25" s="1"/>
      <c r="B25" s="147" t="s">
        <v>171</v>
      </c>
      <c r="C25" s="154"/>
      <c r="D25" s="154"/>
      <c r="E25" s="154"/>
      <c r="F25" s="155"/>
      <c r="G25" s="91">
        <f>G19*(1-'Fane 15. Nøgletal'!C22)*(1+'Fane 15. Nøgletal'!C11)</f>
        <v>514484.01330640487</v>
      </c>
      <c r="H25" s="14" t="s">
        <v>3</v>
      </c>
      <c r="I25" s="1"/>
    </row>
    <row r="26" spans="1:9" x14ac:dyDescent="0.25">
      <c r="A26" s="1"/>
      <c r="B26" s="156" t="s">
        <v>62</v>
      </c>
      <c r="C26" s="154"/>
      <c r="D26" s="154"/>
      <c r="E26" s="154"/>
      <c r="F26" s="155"/>
      <c r="G26" s="91">
        <v>180198.52880074157</v>
      </c>
      <c r="H26" s="14" t="s">
        <v>3</v>
      </c>
      <c r="I26" s="1"/>
    </row>
    <row r="27" spans="1:9" x14ac:dyDescent="0.25">
      <c r="A27" s="1"/>
      <c r="B27" s="144" t="s">
        <v>63</v>
      </c>
      <c r="C27" s="145"/>
      <c r="D27" s="145"/>
      <c r="E27" s="145"/>
      <c r="F27" s="146"/>
      <c r="G27" s="91">
        <f>(G24-G25)*'Fane 15. Nøgletal'!C22+G25*'Fane 15. Nøgletal'!C23+G26*'Fane 15. Nøgletal'!C24</f>
        <v>154602.74586782893</v>
      </c>
      <c r="H27" s="14" t="s">
        <v>3</v>
      </c>
      <c r="I27" s="1"/>
    </row>
    <row r="28" spans="1:9" x14ac:dyDescent="0.25">
      <c r="A28" s="1"/>
      <c r="B28" s="32"/>
      <c r="C28" s="33"/>
      <c r="D28" s="33"/>
      <c r="E28" s="33"/>
      <c r="F28" s="33"/>
      <c r="G28" s="87"/>
      <c r="H28" s="20"/>
      <c r="I28" s="1"/>
    </row>
    <row r="29" spans="1:9" x14ac:dyDescent="0.25">
      <c r="A29" s="1"/>
      <c r="B29" s="1"/>
      <c r="C29" s="1"/>
      <c r="D29" s="1"/>
      <c r="E29" s="1"/>
      <c r="F29" s="1"/>
      <c r="G29" s="97"/>
      <c r="H29" s="1"/>
      <c r="I29" s="1"/>
    </row>
    <row r="30" spans="1:9" x14ac:dyDescent="0.25">
      <c r="A30" s="1"/>
      <c r="B30" s="150" t="s">
        <v>64</v>
      </c>
      <c r="C30" s="151"/>
      <c r="D30" s="151"/>
      <c r="E30" s="151"/>
      <c r="F30" s="151"/>
      <c r="G30" s="152"/>
      <c r="H30" s="153"/>
      <c r="I30" s="1"/>
    </row>
    <row r="31" spans="1:9" x14ac:dyDescent="0.25">
      <c r="A31" s="1"/>
      <c r="B31" s="144" t="s">
        <v>65</v>
      </c>
      <c r="C31" s="145"/>
      <c r="D31" s="145"/>
      <c r="E31" s="145"/>
      <c r="F31" s="146"/>
      <c r="G31" s="91">
        <f>(G24-G25)*(1-'Fane 15. Nøgletal'!C21)*(1+'Fane 15. Nøgletal'!C10)+G25*(1-'Fane 15. Nøgletal'!C22)*(1+'Fane 15. Nøgletal'!C11)+G26*(1-'Fane 15. Nøgletal'!C23)*(1+'Fane 15. Nøgletal'!C12)</f>
        <v>16210617.555932378</v>
      </c>
      <c r="H31" s="14" t="s">
        <v>3</v>
      </c>
      <c r="I31" s="1"/>
    </row>
    <row r="32" spans="1:9" x14ac:dyDescent="0.25">
      <c r="A32" s="1"/>
      <c r="B32" s="147" t="s">
        <v>172</v>
      </c>
      <c r="C32" s="154"/>
      <c r="D32" s="154"/>
      <c r="E32" s="154"/>
      <c r="F32" s="155"/>
      <c r="G32" s="91">
        <f>G25*(1-'Fane 15. Nøgletal'!C22)*(1+'Fane 15. Nøgletal'!C11)</f>
        <v>518627.13763104088</v>
      </c>
      <c r="H32" s="14" t="s">
        <v>3</v>
      </c>
      <c r="I32" s="1"/>
    </row>
    <row r="33" spans="1:9" x14ac:dyDescent="0.25">
      <c r="A33" s="1"/>
      <c r="B33" s="147" t="s">
        <v>106</v>
      </c>
      <c r="C33" s="154"/>
      <c r="D33" s="154"/>
      <c r="E33" s="154"/>
      <c r="F33" s="155"/>
      <c r="G33" s="91">
        <f>G26*(1-'Fane 15. Nøgletal'!C23)*(1+'Fane 15. Nøgletal'!C12)</f>
        <v>178529.9841272817</v>
      </c>
      <c r="H33" s="14" t="s">
        <v>3</v>
      </c>
      <c r="I33" s="1"/>
    </row>
    <row r="34" spans="1:9" x14ac:dyDescent="0.25">
      <c r="A34" s="1"/>
      <c r="B34" s="144" t="s">
        <v>127</v>
      </c>
      <c r="C34" s="145"/>
      <c r="D34" s="145"/>
      <c r="E34" s="145"/>
      <c r="F34" s="146"/>
      <c r="G34" s="91">
        <v>0</v>
      </c>
      <c r="H34" s="14" t="s">
        <v>3</v>
      </c>
      <c r="I34" s="1"/>
    </row>
    <row r="35" spans="1:9" x14ac:dyDescent="0.25">
      <c r="A35" s="1"/>
      <c r="B35" s="144" t="s">
        <v>66</v>
      </c>
      <c r="C35" s="145"/>
      <c r="D35" s="145"/>
      <c r="E35" s="145"/>
      <c r="F35" s="146"/>
      <c r="G35" s="91">
        <f>(G31-SUM(G32:G33))*'Fane 15. Nøgletal'!C21+G32*'Fane 15. Nøgletal'!C22+G33*'Fane 15. Nøgletal'!C23+G34*'Fane 15. Nøgletal'!C24</f>
        <v>284170.55733148567</v>
      </c>
      <c r="H35" s="14" t="s">
        <v>3</v>
      </c>
      <c r="I35" s="1"/>
    </row>
    <row r="36" spans="1:9" x14ac:dyDescent="0.25">
      <c r="A36" s="1"/>
      <c r="B36" s="32"/>
      <c r="C36" s="33"/>
      <c r="D36" s="33"/>
      <c r="E36" s="33"/>
      <c r="F36" s="33"/>
      <c r="G36" s="87"/>
      <c r="H36" s="20"/>
      <c r="I36" s="1"/>
    </row>
    <row r="37" spans="1:9" x14ac:dyDescent="0.25">
      <c r="A37" s="1"/>
      <c r="B37" s="1"/>
      <c r="C37" s="1"/>
      <c r="D37" s="1"/>
      <c r="E37" s="1"/>
      <c r="F37" s="1"/>
      <c r="G37" s="97"/>
      <c r="H37" s="1"/>
      <c r="I37" s="1"/>
    </row>
    <row r="38" spans="1:9" x14ac:dyDescent="0.25">
      <c r="A38" s="1"/>
      <c r="B38" s="150" t="s">
        <v>140</v>
      </c>
      <c r="C38" s="151"/>
      <c r="D38" s="151"/>
      <c r="E38" s="151"/>
      <c r="F38" s="151"/>
      <c r="G38" s="152"/>
      <c r="H38" s="153"/>
      <c r="I38" s="1"/>
    </row>
    <row r="39" spans="1:9" x14ac:dyDescent="0.25">
      <c r="A39" s="1"/>
      <c r="B39" s="144" t="s">
        <v>173</v>
      </c>
      <c r="C39" s="145"/>
      <c r="D39" s="145"/>
      <c r="E39" s="145"/>
      <c r="F39" s="146"/>
      <c r="G39" s="91">
        <f>(SUM(G31,G34)-G35)*(1+'Fane 15. Nøgletal'!C14)</f>
        <v>15979004.273696277</v>
      </c>
      <c r="H39" s="14" t="s">
        <v>3</v>
      </c>
      <c r="I39" s="1"/>
    </row>
    <row r="40" spans="1:9" x14ac:dyDescent="0.25">
      <c r="A40" s="1"/>
      <c r="B40" s="144" t="s">
        <v>141</v>
      </c>
      <c r="C40" s="145"/>
      <c r="D40" s="145"/>
      <c r="E40" s="145"/>
      <c r="F40" s="146"/>
      <c r="G40" s="91">
        <v>0</v>
      </c>
      <c r="H40" s="14" t="s">
        <v>3</v>
      </c>
      <c r="I40" s="1"/>
    </row>
    <row r="41" spans="1:9" x14ac:dyDescent="0.25">
      <c r="A41" s="1"/>
      <c r="B41" s="144" t="s">
        <v>142</v>
      </c>
      <c r="C41" s="145"/>
      <c r="D41" s="145"/>
      <c r="E41" s="145"/>
      <c r="F41" s="146"/>
      <c r="G41" s="91">
        <f>(G39+G40)*'Fane 15. Nøgletal'!C25</f>
        <v>236489.26325070491</v>
      </c>
      <c r="H41" s="14" t="s">
        <v>3</v>
      </c>
      <c r="I41" s="1"/>
    </row>
    <row r="42" spans="1:9" x14ac:dyDescent="0.25">
      <c r="A42" s="1"/>
      <c r="B42" s="32"/>
      <c r="C42" s="33"/>
      <c r="D42" s="33"/>
      <c r="E42" s="33"/>
      <c r="F42" s="33"/>
      <c r="G42" s="87"/>
      <c r="H42" s="20"/>
      <c r="I42" s="1"/>
    </row>
    <row r="43" spans="1:9" x14ac:dyDescent="0.25">
      <c r="A43" s="1"/>
      <c r="B43" s="1"/>
      <c r="C43" s="1"/>
      <c r="D43" s="1"/>
      <c r="E43" s="1"/>
      <c r="F43" s="1"/>
      <c r="G43" s="97"/>
      <c r="H43" s="1"/>
      <c r="I43" s="1"/>
    </row>
    <row r="44" spans="1:9" x14ac:dyDescent="0.25">
      <c r="A44" s="1"/>
      <c r="B44" s="150" t="s">
        <v>238</v>
      </c>
      <c r="C44" s="151"/>
      <c r="D44" s="151"/>
      <c r="E44" s="151"/>
      <c r="F44" s="151"/>
      <c r="G44" s="152"/>
      <c r="H44" s="153"/>
      <c r="I44" s="1"/>
    </row>
    <row r="45" spans="1:9" x14ac:dyDescent="0.25">
      <c r="A45" s="1"/>
      <c r="B45" s="144" t="s">
        <v>67</v>
      </c>
      <c r="C45" s="145"/>
      <c r="D45" s="145"/>
      <c r="E45" s="145"/>
      <c r="F45" s="146"/>
      <c r="G45" s="91">
        <f>(G39+G40-G41)*(1+'Fane 15. Nøgletal'!C14)</f>
        <v>15794465.309980044</v>
      </c>
      <c r="H45" s="14" t="s">
        <v>3</v>
      </c>
      <c r="I45" s="1"/>
    </row>
    <row r="46" spans="1:9" x14ac:dyDescent="0.25">
      <c r="A46" s="1"/>
      <c r="B46" s="147" t="s">
        <v>242</v>
      </c>
      <c r="C46" s="148"/>
      <c r="D46" s="148"/>
      <c r="E46" s="148"/>
      <c r="F46" s="149"/>
      <c r="G46" s="94">
        <f>(SUM('Fane 2.1. Økonomisk ramme 2023'!C13,'Fane 2.1. Økonomisk ramme 2023'!C15,'Fane 2.1. Økonomisk ramme 2023'!C17))*(1+'Fane 15. Nøgletal'!C15)</f>
        <v>0</v>
      </c>
      <c r="H46" s="14" t="s">
        <v>3</v>
      </c>
      <c r="I46" s="1"/>
    </row>
    <row r="47" spans="1:9" x14ac:dyDescent="0.25">
      <c r="A47" s="1"/>
      <c r="B47" s="144" t="s">
        <v>177</v>
      </c>
      <c r="C47" s="145"/>
      <c r="D47" s="145"/>
      <c r="E47" s="145"/>
      <c r="F47" s="146"/>
      <c r="G47" s="91">
        <f>G45*'Fane 15. Nøgletal'!C25+G46*'Fane 15. Nøgletal'!C26</f>
        <v>233758.08658770466</v>
      </c>
      <c r="H47" s="14" t="s">
        <v>3</v>
      </c>
      <c r="I47" s="1"/>
    </row>
    <row r="48" spans="1:9" x14ac:dyDescent="0.25">
      <c r="A48" s="1"/>
      <c r="B48" s="32"/>
      <c r="C48" s="33"/>
      <c r="D48" s="33"/>
      <c r="E48" s="33"/>
      <c r="F48" s="33"/>
      <c r="G48" s="87"/>
      <c r="H48" s="20"/>
      <c r="I48" s="1"/>
    </row>
    <row r="49" spans="1:9" x14ac:dyDescent="0.25">
      <c r="A49" s="1"/>
      <c r="B49" s="1"/>
      <c r="C49" s="1"/>
      <c r="D49" s="1"/>
      <c r="E49" s="1"/>
      <c r="F49" s="1"/>
      <c r="G49" s="97"/>
      <c r="H49" s="1"/>
      <c r="I49" s="1"/>
    </row>
    <row r="50" spans="1:9" x14ac:dyDescent="0.25">
      <c r="A50" s="1"/>
      <c r="B50" s="150" t="s">
        <v>128</v>
      </c>
      <c r="C50" s="151"/>
      <c r="D50" s="151"/>
      <c r="E50" s="151"/>
      <c r="F50" s="151"/>
      <c r="G50" s="152"/>
      <c r="H50" s="153"/>
      <c r="I50" s="1"/>
    </row>
    <row r="51" spans="1:9" x14ac:dyDescent="0.25">
      <c r="A51" s="1"/>
      <c r="B51" s="144" t="s">
        <v>129</v>
      </c>
      <c r="C51" s="145"/>
      <c r="D51" s="145"/>
      <c r="E51" s="145"/>
      <c r="F51" s="146"/>
      <c r="G51" s="91">
        <f>(G45+G46-G47)*(1+'Fane 15. Nøgletal'!C15)</f>
        <v>16114668.400545107</v>
      </c>
      <c r="H51" s="14" t="s">
        <v>3</v>
      </c>
      <c r="I51" s="1"/>
    </row>
    <row r="52" spans="1:9" x14ac:dyDescent="0.25">
      <c r="A52" s="1"/>
      <c r="B52" s="144" t="s">
        <v>130</v>
      </c>
      <c r="C52" s="145"/>
      <c r="D52" s="145"/>
      <c r="E52" s="145"/>
      <c r="F52" s="146"/>
      <c r="G52" s="91">
        <f>(G51)*'Fane 15. Nøgletal'!C26</f>
        <v>0</v>
      </c>
      <c r="H52" s="14" t="s">
        <v>3</v>
      </c>
      <c r="I52" s="1"/>
    </row>
    <row r="53" spans="1:9" x14ac:dyDescent="0.25">
      <c r="A53" s="1"/>
      <c r="B53" s="32"/>
      <c r="C53" s="33"/>
      <c r="D53" s="33"/>
      <c r="E53" s="33"/>
      <c r="F53" s="33"/>
      <c r="G53" s="87"/>
      <c r="H53" s="20"/>
      <c r="I53" s="1"/>
    </row>
    <row r="54" spans="1:9" x14ac:dyDescent="0.25">
      <c r="A54" s="1"/>
      <c r="B54" s="1"/>
      <c r="C54" s="1"/>
      <c r="D54" s="1"/>
      <c r="E54" s="1"/>
      <c r="F54" s="1"/>
      <c r="G54" s="97"/>
      <c r="H54" s="1"/>
      <c r="I54" s="1"/>
    </row>
    <row r="55" spans="1:9" x14ac:dyDescent="0.25">
      <c r="A55" s="1"/>
      <c r="B55" s="150" t="s">
        <v>153</v>
      </c>
      <c r="C55" s="151"/>
      <c r="D55" s="151"/>
      <c r="E55" s="151"/>
      <c r="F55" s="151"/>
      <c r="G55" s="152"/>
      <c r="H55" s="153"/>
      <c r="I55" s="1"/>
    </row>
    <row r="56" spans="1:9" x14ac:dyDescent="0.25">
      <c r="A56" s="1"/>
      <c r="B56" s="144" t="s">
        <v>129</v>
      </c>
      <c r="C56" s="145"/>
      <c r="D56" s="145"/>
      <c r="E56" s="145"/>
      <c r="F56" s="146"/>
      <c r="G56" s="91">
        <f>(G51-G52)*(1+'Fane 15. Nøgletal'!C15)</f>
        <v>16688350.595604515</v>
      </c>
      <c r="H56" s="14" t="s">
        <v>3</v>
      </c>
      <c r="I56" s="1"/>
    </row>
    <row r="57" spans="1:9" x14ac:dyDescent="0.25">
      <c r="A57" s="1"/>
      <c r="B57" s="144" t="s">
        <v>174</v>
      </c>
      <c r="C57" s="145"/>
      <c r="D57" s="145"/>
      <c r="E57" s="145"/>
      <c r="F57" s="146"/>
      <c r="G57" s="91">
        <f>(G56)*'Fane 15. Nøgletal'!C26</f>
        <v>0</v>
      </c>
      <c r="H57" s="14" t="s">
        <v>3</v>
      </c>
      <c r="I57" s="1"/>
    </row>
    <row r="58" spans="1:9" x14ac:dyDescent="0.25">
      <c r="A58" s="1"/>
      <c r="B58" s="32"/>
      <c r="C58" s="33"/>
      <c r="D58" s="33"/>
      <c r="E58" s="33"/>
      <c r="F58" s="33"/>
      <c r="G58" s="87"/>
      <c r="H58" s="20"/>
      <c r="I58" s="1"/>
    </row>
    <row r="59" spans="1:9" x14ac:dyDescent="0.25">
      <c r="A59" s="1"/>
      <c r="B59" s="1"/>
      <c r="C59" s="1"/>
      <c r="D59" s="1"/>
      <c r="E59" s="1"/>
      <c r="F59" s="1"/>
      <c r="G59" s="97"/>
      <c r="H59" s="1"/>
      <c r="I59" s="1"/>
    </row>
    <row r="60" spans="1:9" x14ac:dyDescent="0.25">
      <c r="A60" s="1"/>
      <c r="B60" s="150" t="s">
        <v>206</v>
      </c>
      <c r="C60" s="151"/>
      <c r="D60" s="151"/>
      <c r="E60" s="151"/>
      <c r="F60" s="151"/>
      <c r="G60" s="152"/>
      <c r="H60" s="153"/>
      <c r="I60" s="1"/>
    </row>
    <row r="61" spans="1:9" x14ac:dyDescent="0.25">
      <c r="A61" s="1"/>
      <c r="B61" s="144" t="s">
        <v>207</v>
      </c>
      <c r="C61" s="145"/>
      <c r="D61" s="145"/>
      <c r="E61" s="145"/>
      <c r="F61" s="146"/>
      <c r="G61" s="91">
        <f>(G56-G57)*(1+'Fane 15. Nøgletal'!C15)</f>
        <v>17282455.876808036</v>
      </c>
      <c r="H61" s="14" t="s">
        <v>3</v>
      </c>
      <c r="I61" s="1"/>
    </row>
    <row r="62" spans="1:9" x14ac:dyDescent="0.25">
      <c r="A62" s="1"/>
      <c r="B62" s="144" t="s">
        <v>208</v>
      </c>
      <c r="C62" s="145"/>
      <c r="D62" s="145"/>
      <c r="E62" s="145"/>
      <c r="F62" s="146"/>
      <c r="G62" s="91">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wQIReEJNvIgx4zACaAgvyjwWtz1IS7eIvBYXr7Fc7c5WyrCZR8B87S/MdVBsAjRfJ/xhkkOoTxB52ln0TMjbxg==" saltValue="cExSzAfD86zZFZxj2opd8Q=="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4" t="s">
        <v>143</v>
      </c>
      <c r="C9" s="145"/>
      <c r="D9" s="145"/>
      <c r="E9" s="145"/>
      <c r="F9" s="146"/>
      <c r="G9" s="98">
        <v>5.2435363026968537E-4</v>
      </c>
      <c r="H9" s="1"/>
    </row>
    <row r="10" spans="1:8" x14ac:dyDescent="0.25">
      <c r="A10" s="1"/>
      <c r="B10" s="32"/>
      <c r="C10" s="33"/>
      <c r="D10" s="33"/>
      <c r="E10" s="33"/>
      <c r="F10" s="33"/>
      <c r="G10" s="20"/>
      <c r="H10" s="1"/>
    </row>
    <row r="11" spans="1:8" ht="25.5" customHeight="1" x14ac:dyDescent="0.25">
      <c r="A11" s="1"/>
      <c r="B11" s="158" t="s">
        <v>240</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WtXIkogA1oxBKvm8KyblBUtDlm4i+P4QgndG8U7FuGExFCAfhtFUtOcJFEY0qblXOyTaYp+mAhojC/B/9dAYEg==" saltValue="9biOgjunyQbFfM5I1QSIzw=="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2022-12-01T08:26:49Z</dcterms:modified>
</cp:coreProperties>
</file>