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 Vand AS (V16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26" i="32" l="1"/>
  <c r="E35" i="32" l="1"/>
  <c r="E37" i="32" s="1"/>
  <c r="E30" i="32"/>
  <c r="C30" i="2" s="1"/>
  <c r="C14" i="19"/>
  <c r="C23" i="22" l="1"/>
  <c r="C23" i="15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1" i="36"/>
  <c r="F11" i="11"/>
  <c r="G11" i="11"/>
  <c r="G35" i="36" l="1"/>
  <c r="E19" i="27"/>
  <c r="G35" i="30"/>
  <c r="E18" i="27"/>
  <c r="C10" i="37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<sst xmlns="http://schemas.openxmlformats.org/spreadsheetml/2006/main" count="620" uniqueCount="254">
  <si>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</si>
  <si>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</si>
  <si>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</si>
  <si>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</si>
  <si>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</si>
  <si>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</si>
  <si>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</si>
  <si>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</si>
  <si>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</si>
  <si>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</si>
  <si>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</si>
  <si>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</si>
  <si>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</si>
  <si>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</si>
  <si>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</si>
  <si>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</si>
  <si>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</si>
  <si>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</si>
  <si>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</si>
  <si>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</si>
  <si>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</si>
  <si>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</si>
  <si>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</si>
  <si>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</si>
  <si>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</si>
  <si>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</si>
  <si>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</si>
  <si>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</si>
  <si>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</si>
  <si>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</si>
  <si>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</si>
  <si>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</si>
  <si>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</si>
  <si>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</si>
  <si>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</si>
  <si>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</si>
  <si>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</si>
  <si>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</si>
  <si>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</si>
  <si>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</si>
  <si>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</si>
  <si>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</si>
  <si>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</si>
  <si>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</si>
  <si>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</si>
  <si>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</si>
  <si>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</si>
  <si>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</si>
  <si>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</si>
  <si>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</si>
  <si>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</si>
  <si>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</si>
  <si>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</si>
  <si>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</si>
  <si>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</si>
  <si>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</si>
  <si>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</si>
  <si>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</si>
  <si>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</si>
  <si>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</si>
  <si>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</si>
  <si>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</si>
  <si>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</si>
  <si>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</si>
  <si>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</si>
  <si>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</si>
  <si>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</si>
  <si>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</si>
  <si>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</si>
  <si>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</si>
  <si>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</si>
  <si>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</si>
  <si>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</si>
  <si>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</si>
  <si>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</si>
  <si>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</si>
  <si>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</si>
  <si>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</si>
  <si>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</si>
  <si>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</si>
  <si>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</si>
  <si>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</si>
  <si>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</si>
  <si>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</si>
  <si>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</si>
  <si>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</si>
  <si>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</si>
  <si>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</si>
  <si>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</si>
  <si>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</si>
  <si>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</si>
  <si>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</si>
  <si>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</si>
  <si>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</si>
  <si>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</si>
  <si>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</si>
  <si>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</si>
  <si>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</si>
  <si>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</si>
  <si>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</si>
  <si>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</si>
  <si>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</si>
  <si>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</si>
  <si>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</si>
  <si>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</si>
  <si>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</si>
  <si>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</si>
  <si>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</si>
  <si>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</si>
  <si>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</si>
  <si>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</si>
  <si>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</si>
  <si>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</si>
  <si>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</si>
  <si>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</si>
  <si>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</si>
  <si>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</si>
  <si>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</si>
  <si>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</si>
  <si>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</si>
  <si>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</si>
  <si>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</si>
  <si>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</si>
  <si>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</si>
  <si>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</si>
  <si>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</si>
  <si>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</si>
  <si>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</si>
  <si>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</si>
  <si>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</si>
  <si>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</si>
  <si>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</si>
  <si>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</si>
  <si>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</si>
  <si>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</si>
  <si>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</si>
  <si>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</si>
  <si>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</si>
  <si>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</si>
  <si>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</si>
  <si>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</si>
  <si>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</si>
  <si>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</si>
  <si>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</si>
  <si>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</si>
  <si>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</si>
  <si>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</si>
  <si>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</si>
  <si>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</si>
  <si>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</si>
  <si>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</si>
  <si>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</si>
  <si>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</si>
  <si>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</si>
  <si>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</si>
  <si>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</si>
  <si>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</si>
  <si>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</si>
  <si>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</si>
  <si>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</si>
  <si>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</si>
  <si>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</si>
  <si>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</si>
  <si>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</si>
  <si>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</si>
  <si>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</si>
  <si>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</si>
  <si>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</si>
  <si>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</si>
  <si>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</si>
  <si>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</si>
  <si>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</si>
  <si>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</si>
  <si>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</si>
  <si>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</si>
  <si>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</si>
  <si>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</si>
  <si>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</si>
  <si>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</si>
  <si>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</si>
  <si>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</si>
  <si>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</si>
  <si>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</si>
  <si>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</si>
  <si>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</si>
  <si>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</si>
  <si>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</si>
  <si>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</si>
  <si>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</si>
  <si>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</si>
  <si>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</si>
  <si>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</si>
  <si>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</si>
  <si>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</si>
  <si>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</si>
  <si>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</si>
  <si>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</si>
  <si>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</si>
  <si>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</si>
  <si>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</si>
  <si>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</si>
  <si>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</si>
  <si>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</si>
  <si>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</si>
  <si>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</si>
  <si>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</si>
  <si>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</si>
  <si>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</si>
  <si>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</si>
  <si>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</si>
  <si>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</si>
  <si>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</si>
  <si>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</si>
  <si>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</si>
  <si>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</si>
  <si>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</si>
  <si>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</si>
  <si>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</si>
  <si>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</si>
  <si>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</si>
  <si>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</si>
  <si>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</si>
  <si>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</si>
  <si>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</si>
  <si>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</si>
  <si>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</si>
  <si>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 af forsyningsområde</t>
  </si>
  <si>
    <t>Ingen engangstillæg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</si>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</sst>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253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+llp4PvlhmyUlbWiSnLIo3VVSer9PLRqq1+Gvs2Zh49cx9MINE0VSXDW77N6UPNKZ/25y6f8ub5HdPh0gQaBw==" saltValue="IQTjOGLgFUs14Cb+E7IDC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229</v>
      </c>
      <c r="C10" s="9">
        <v>22009528</v>
      </c>
      <c r="D10" s="14" t="s">
        <v>3</v>
      </c>
      <c r="E10" s="1"/>
      <c r="F10" s="1"/>
    </row>
    <row r="11" spans="1:6" x14ac:dyDescent="0.25">
      <c r="A11" s="1"/>
      <c r="B11" s="63" t="s">
        <v>230</v>
      </c>
      <c r="C11" s="9">
        <v>110011</v>
      </c>
      <c r="D11" s="14" t="s">
        <v>3</v>
      </c>
      <c r="E11" s="1"/>
      <c r="F11" s="1"/>
    </row>
    <row r="12" spans="1:6" x14ac:dyDescent="0.25">
      <c r="A12" s="1"/>
      <c r="B12" s="63" t="s">
        <v>231</v>
      </c>
      <c r="C12" s="9">
        <v>146878</v>
      </c>
      <c r="D12" s="14" t="s">
        <v>3</v>
      </c>
      <c r="E12" s="1"/>
      <c r="F12" s="1"/>
    </row>
    <row r="13" spans="1:6" x14ac:dyDescent="0.25">
      <c r="A13" s="1"/>
      <c r="B13" s="63" t="s">
        <v>232</v>
      </c>
      <c r="C13" s="9">
        <v>43625</v>
      </c>
      <c r="D13" s="14" t="s">
        <v>3</v>
      </c>
      <c r="E13" s="1"/>
      <c r="F13" s="1"/>
    </row>
    <row r="14" spans="1:6" x14ac:dyDescent="0.25">
      <c r="A14" s="1"/>
      <c r="B14" s="55" t="s">
        <v>204</v>
      </c>
      <c r="C14" s="12">
        <f>SUM(C10:C13)</f>
        <v>22310042</v>
      </c>
      <c r="D14" s="13" t="s">
        <v>3</v>
      </c>
      <c r="E14" s="1"/>
      <c r="F14" s="1"/>
    </row>
    <row r="15" spans="1:6" x14ac:dyDescent="0.25">
      <c r="A15" s="1"/>
      <c r="B15" s="55" t="s">
        <v>205</v>
      </c>
      <c r="C15" s="12">
        <f>C14*(1+'Fane 12. Nøgletal'!C14)^2</f>
        <v>22457531.233557384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oMdokT/8nvtsn7A6uh/G4tu2XN0mRRPGFnghHVGBRBkJN6ZSdLJhb+buTP/7048AFwYQZXNbVcDfqcImJzaBw==" saltValue="qWo5x+y0BTMgZ0t1/LDPQ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3627671.7384147197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-4144437.5337207243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-5496955.3768622428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-5496955.3768622428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25">
      <c r="A17" s="1"/>
      <c r="B17" s="115" t="s">
        <v>241</v>
      </c>
      <c r="C17" s="116"/>
      <c r="D17" s="117"/>
      <c r="E17" s="9">
        <v>-4463415.7259863354</v>
      </c>
      <c r="F17" s="14" t="s">
        <v>3</v>
      </c>
      <c r="G17" s="1"/>
    </row>
    <row r="18" spans="1:7" x14ac:dyDescent="0.25">
      <c r="A18" s="1"/>
      <c r="B18" s="115" t="s">
        <v>242</v>
      </c>
      <c r="C18" s="116"/>
      <c r="D18" s="117"/>
      <c r="E18" s="9">
        <v>-4463415.7259863354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67550626.629143745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68106346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250</v>
      </c>
      <c r="C26" s="65"/>
      <c r="D26" s="66"/>
      <c r="E26" s="45">
        <f>E23-(E24-E25)</f>
        <v>-555719.37085625529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25">
      <c r="A30" s="1"/>
      <c r="B30" s="136" t="s">
        <v>245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-4463415.7259863354</v>
      </c>
      <c r="F30" s="17" t="s">
        <v>3</v>
      </c>
      <c r="G30" s="1"/>
    </row>
    <row r="31" spans="1:7" x14ac:dyDescent="0.25">
      <c r="A31" s="1"/>
      <c r="B31" s="112"/>
      <c r="C31" s="113"/>
      <c r="D31" s="113"/>
      <c r="E31" s="113"/>
      <c r="F31" s="114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3" t="s">
        <v>251</v>
      </c>
      <c r="C34" s="134"/>
      <c r="D34" s="135"/>
      <c r="E34" s="9">
        <v>0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-555719.37085625529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-138929.84271406382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Vqinf/ibJfYNnX+TOJ33vLdw9WQDm7zh6y96KNAArnHuQv0ptKpfJ+M10sQOsOOfHoWWM+uCdGqUqhQn1DA3Vw==" saltValue="lX6CAZiMogXsbhchsylGwg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  <ignoredErrors>
    <ignoredError sqref="E1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252</v>
      </c>
      <c r="C10" s="6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fdk1fgSYezfk7scUlMeunZ8GR6d6lk+mZHYYAZnYI8rhFieZgDeaq8oSZI9SuPEurbKHXtfqJTZnYBgG2I71w==" saltValue="FpzFETkpM+v69YZ0XyArC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226</v>
      </c>
      <c r="C11" s="22">
        <v>135018</v>
      </c>
      <c r="D11" s="14" t="s">
        <v>3</v>
      </c>
      <c r="E11" s="9">
        <v>70989</v>
      </c>
      <c r="F11" s="14" t="s">
        <v>3</v>
      </c>
      <c r="G11" s="1"/>
    </row>
    <row r="12" spans="1:7" x14ac:dyDescent="0.25">
      <c r="A12" s="1"/>
      <c r="B12" s="55" t="s">
        <v>136</v>
      </c>
      <c r="C12" s="12">
        <f>SUM(C10:C11)</f>
        <v>135018</v>
      </c>
      <c r="D12" s="13" t="s">
        <v>3</v>
      </c>
      <c r="E12" s="12">
        <f>SUM(E10:E11)</f>
        <v>70989</v>
      </c>
      <c r="F12" s="13" t="s">
        <v>3</v>
      </c>
      <c r="G12" s="1"/>
    </row>
    <row r="13" spans="1:7" x14ac:dyDescent="0.25">
      <c r="A13" s="1"/>
      <c r="B13" s="55" t="s">
        <v>209</v>
      </c>
      <c r="C13" s="12">
        <f>C12*(1+'Fane 12. Nøgletal'!C14)</f>
        <v>135463.5594</v>
      </c>
      <c r="D13" s="13" t="s">
        <v>3</v>
      </c>
      <c r="E13" s="12">
        <f>E12*(1+'Fane 12. Nøgletal'!C14)</f>
        <v>71223.26370000001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fxGCnbaZMixkmDEsI3Tix/ISZyAgYdnRAUw3aL8CpUyKP9xPVb2R1MQrfAHISKpwhFjAdM92H5HTcK/gE2RRA==" saltValue="cRbzhV2Vf7ujUxnZDWEbE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227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227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227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227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Xc4fzgUYAkVgJDXRYJIqnC6oKyjXXtjy6Gl006wRURnbW+yKQGn0pv2urXm3wJenA829ofhefhnmLLiHqrcHw==" saltValue="X8OomMfvuDxp8dTCfGeG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LN4YMUKEybhw19nbkek9UnZvWNfO7VP21W+gA9m8emorccP233R2wVxrCvhbBmYve+bEonZx2uS3y+EngCAOw==" saltValue="eQK0+0OZ78sj51xkDfCbs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djKRx/+jDrd6pXRCuG8dSqxmh4VGd4k1ucW4U4UslOEKoyaxQwieT5p7fbV9hyeH/8Qt7ToG9BlxSzO3kEA93g==" saltValue="u4iiZI9ichFrLjaeIXmxt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HXOvDesccOAwpz3SnTMzxmVY8GF48xP50GooqFW0kFYz1EqXHUOE0SaUkvf1RPOUYNhs6Qk14Yw5KDy1RLPaGg==" saltValue="qmpQTe4Res46au8XAjeAc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46050365.642727777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1051781.8228159966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1975142.8731804197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135463.5594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71223.26370000001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562496.52735750889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-307681.46357411868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-448846.57355214155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-704098.65726214228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45358922.298796892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omk.'!C15</f>
        <v>22457531.233557384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-4463415.7259863354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63353037.806367949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s94mejyCcpnD56VNrH3QAEfXTC6Er0RxoTH8H0dKDG8FpWRwys8A5FECM2LqvUQTmEY5jGOtK/Z78zzwBPbiNQ==" saltValue="q7NGWFCkblwbcX+NR9jy1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134</v>
      </c>
      <c r="C8" s="7">
        <f>'Fane 2.1. Økonomisk ramme 2022'!C22</f>
        <v>45358922.298796892</v>
      </c>
      <c r="D8" s="8" t="s">
        <v>3</v>
      </c>
      <c r="E8" s="1"/>
    </row>
    <row r="9" spans="1:5" ht="15" customHeight="1" x14ac:dyDescent="0.2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2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149684.44358602975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-299066.41624748311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drift'!G44</f>
        <v>-441321.21189996641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anlæg'!G44</f>
        <v>-370218.54919787735</v>
      </c>
      <c r="D14" s="8" t="s">
        <v>3</v>
      </c>
      <c r="E14" s="1"/>
    </row>
    <row r="15" spans="1:5" ht="15" customHeight="1" x14ac:dyDescent="0.25">
      <c r="A15" s="1"/>
      <c r="B15" s="52" t="s">
        <v>20</v>
      </c>
      <c r="C15" s="10">
        <f>SUM(C8:C14)</f>
        <v>44398000.565037601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</f>
        <v>22531641.086628124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6" t="s">
        <v>161</v>
      </c>
      <c r="C22" s="56"/>
      <c r="D22" s="20"/>
      <c r="E22" s="1"/>
    </row>
    <row r="23" spans="1:5" ht="15" customHeight="1" x14ac:dyDescent="0.25">
      <c r="A23" s="1"/>
      <c r="B23" s="67" t="s">
        <v>162</v>
      </c>
      <c r="C23" s="10">
        <f>'Fane 7. Kontrol af ØR2020'!E37</f>
        <v>-138929.84271406382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97</v>
      </c>
      <c r="C26" s="12">
        <f>SUM(C15,C17,C21,C23,C25)</f>
        <v>66790711.808951661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CsYfzyi6+E6O+F+Tl+R9yYEkXheS7GCRjHU1B+MOmhPEKI+o/puWkZlZ1Lv1ZamPMOgEd58tEqr6Pudm2aYdzw==" saltValue="VxLeSOaqKdXUxiOPOb+r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2023'!C15</f>
        <v>44398000.565037601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146513.40186462409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-292730.74060429592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-433922.02046125161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anlæg'!G54</f>
        <v>-365942.9544081589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43451918.251428515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Nøgletal'!C14)^2</f>
        <v>22605995.502214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-138929.84271406382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65918983.910928451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8ncEaPwoKEGWkSxqksM7XFO0SiZ5SWIRxseHQI3o6ZpWb8GeXfvopHljPaMLWjifIuvHQnNNB5ghPUumUCAnA==" saltValue="Eac7ipSPp5irSyhTIIuZ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43451918.251428515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143391.33022971411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-286492.90617907851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-426646.8838661983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anlæg'!G60</f>
        <v>-361716.73777857184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42520453.053834379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omk.'!C15*(1+'Fane 12. Nøgletal'!C14)^3</f>
        <v>22680595.287371308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-138929.84271406382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65062118.498491623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sFbLB0mQXaflQ+DH+EQQ7HhWuBpo3b+LXo0UmTTnT51WCaKaKSzVWCuKTnaaGjs/E622vPvUQ+GjAMIvDjgj1A==" saltValue="UgzTuM9L6PHzrWrWE+m1J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43866175.467334069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1067469.1566000001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2020166.9796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572836.50156311563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-312328.2680462565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f>-'Fane 4.1. Gen. krav - drift'!G31</f>
        <v>-449746.11955492094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f>-'Fane 4.2. Gen. krav - anlæg'!G31</f>
        <v>-714208.07476822182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46050365.642727777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23077094.828132521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6"/>
      <c r="F23" s="56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107422.92132516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104568.51757527184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-4463415.7259863354</v>
      </c>
      <c r="F28" s="11" t="s">
        <v>3</v>
      </c>
      <c r="G28" s="1"/>
    </row>
    <row r="29" spans="1:7" x14ac:dyDescent="0.25">
      <c r="A29" s="1"/>
      <c r="B29" s="55" t="s">
        <v>247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94" t="s">
        <v>248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64768613.26244925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j7ZFGRVBQwkFnpkBkRkYRSQYjbvcsZcdYuwt9Wb6iDqiWBTniHvAqNTaLN6EsG63J/+eL0j5ML76/NiWfYHkwg==" saltValue="Yh/7Slws32SQZ64a4u06/w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22461588.906828538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449231.77813657076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22291914.064226355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445838.2812845271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22215274.463673543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-1093812.3898450055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422429.24147657072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21048846.487218715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531560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431608.12974437431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21406813.697435528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1080492.2803105202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449746.11955492094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22306418.088461056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24">
        <f>SUM('Fane 2.1. Økonomisk ramme 2022'!C10)*(1+'Fane 12. Nøgletal'!C14)</f>
        <v>1055252.7028312895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135910.58914602001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448846.57355214155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22066060.594998319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441321.21189996641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21696101.023062579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433922.02046125161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21332344.193309914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426646.8838661983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ju4kibBfufK+tSd6+fgh2JTQTOOUL/+JnL3AwvOaAuWreXuyng9URgs22qjcX8Fb0XKx+fnBTt1fjXTM0cB9Bw==" saltValue="snpFoY0TwOa0IIvZX1HTK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20844582.670997187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189685.70230607441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20917214.160193492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190346.6488577608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21077151.572277304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-436791.47363035317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20261.873442339995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179747.41115717683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20827001.341011867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3079662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268657.31246680324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23926389.702093311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2044813.0167511199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714208.07476822182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25565129.978733934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1981660.8446619152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71458.300470210015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704098.65726214228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25014766.837694414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370218.54919787735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12" t="s">
        <v>153</v>
      </c>
      <c r="C51" s="113"/>
      <c r="D51" s="113"/>
      <c r="E51" s="113"/>
      <c r="F51" s="113"/>
      <c r="G51" s="113"/>
      <c r="H51" s="114"/>
      <c r="I51" s="1"/>
    </row>
    <row r="52" spans="1:9" x14ac:dyDescent="0.25">
      <c r="A52" s="1"/>
      <c r="B52" s="115" t="s">
        <v>154</v>
      </c>
      <c r="C52" s="116"/>
      <c r="D52" s="116"/>
      <c r="E52" s="116"/>
      <c r="F52" s="117"/>
      <c r="G52" s="24">
        <f>(G42+G43-G44)*(1+'Fane 12. Nøgletal'!C14)</f>
        <v>24725875.297848575</v>
      </c>
      <c r="H52" s="14" t="s">
        <v>3</v>
      </c>
      <c r="I52" s="1"/>
    </row>
    <row r="53" spans="1:9" x14ac:dyDescent="0.25">
      <c r="A53" s="1"/>
      <c r="B53" s="115" t="s">
        <v>155</v>
      </c>
      <c r="C53" s="116"/>
      <c r="D53" s="116"/>
      <c r="E53" s="116"/>
      <c r="F53" s="117"/>
      <c r="G53" s="9">
        <f>-'Fane 11. Bortfald'!E26*(1+'Fane 12. Nøgletal'!C13)</f>
        <v>0</v>
      </c>
      <c r="H53" s="14" t="s">
        <v>3</v>
      </c>
      <c r="I53" s="1"/>
    </row>
    <row r="54" spans="1:9" x14ac:dyDescent="0.25">
      <c r="A54" s="1"/>
      <c r="B54" s="115" t="s">
        <v>156</v>
      </c>
      <c r="C54" s="116"/>
      <c r="D54" s="116"/>
      <c r="E54" s="116"/>
      <c r="F54" s="117"/>
      <c r="G54" s="24">
        <f>(G52+G53)*'Fane 12. Nøgletal'!C24</f>
        <v>365942.9544081589</v>
      </c>
      <c r="H54" s="14" t="s">
        <v>3</v>
      </c>
      <c r="I54" s="1"/>
    </row>
    <row r="55" spans="1:9" x14ac:dyDescent="0.25">
      <c r="A55" s="1"/>
      <c r="B55" s="55"/>
      <c r="C55" s="56"/>
      <c r="D55" s="56"/>
      <c r="E55" s="56"/>
      <c r="F55" s="56"/>
      <c r="G55" s="56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12" t="s">
        <v>194</v>
      </c>
      <c r="C57" s="113"/>
      <c r="D57" s="113"/>
      <c r="E57" s="113"/>
      <c r="F57" s="113"/>
      <c r="G57" s="113"/>
      <c r="H57" s="114"/>
      <c r="I57" s="1"/>
    </row>
    <row r="58" spans="1:9" x14ac:dyDescent="0.25">
      <c r="A58" s="1"/>
      <c r="B58" s="115" t="s">
        <v>195</v>
      </c>
      <c r="C58" s="116"/>
      <c r="D58" s="116"/>
      <c r="E58" s="116"/>
      <c r="F58" s="117"/>
      <c r="G58" s="24">
        <f>(G52+G53-G54)*(1+'Fane 12. Nøgletal'!C14)</f>
        <v>24440320.120173771</v>
      </c>
      <c r="H58" s="14" t="s">
        <v>3</v>
      </c>
      <c r="I58" s="1"/>
    </row>
    <row r="59" spans="1:9" x14ac:dyDescent="0.25">
      <c r="A59" s="1"/>
      <c r="B59" s="115" t="s">
        <v>196</v>
      </c>
      <c r="C59" s="116"/>
      <c r="D59" s="116"/>
      <c r="E59" s="116"/>
      <c r="F59" s="117"/>
      <c r="G59" s="9">
        <f>-'Fane 11. Bortfald'!E33*(1+'Fane 12. Nøgletal'!C14)</f>
        <v>0</v>
      </c>
      <c r="H59" s="14" t="s">
        <v>3</v>
      </c>
      <c r="I59" s="1"/>
    </row>
    <row r="60" spans="1:9" x14ac:dyDescent="0.25">
      <c r="A60" s="1"/>
      <c r="B60" s="115" t="s">
        <v>197</v>
      </c>
      <c r="C60" s="116"/>
      <c r="D60" s="116"/>
      <c r="E60" s="116"/>
      <c r="F60" s="117"/>
      <c r="G60" s="24">
        <f>(G58+G59)*'Fane 12. Nøgletal'!C24</f>
        <v>361716.73777857184</v>
      </c>
      <c r="H60" s="14" t="s">
        <v>3</v>
      </c>
      <c r="I60" s="1"/>
    </row>
    <row r="61" spans="1:9" x14ac:dyDescent="0.25">
      <c r="A61" s="1"/>
      <c r="B61" s="55"/>
      <c r="C61" s="56"/>
      <c r="D61" s="56"/>
      <c r="E61" s="56"/>
      <c r="F61" s="56"/>
      <c r="G61" s="56"/>
      <c r="H61" s="20"/>
      <c r="I61" s="1"/>
    </row>
  </sheetData>
  <sheetProtection algorithmName="SHA-512" hashValue="vt1tgey8puOf04HLK/qS4iHYjo96v29m2sO0eqh3BCzaDStRcw+T+8Sy9lGRV8YlSDm/CYEEnW9HTzLCNaJrLA==" saltValue="vBbZ2bV2StTC4uTMz2HF3A==" spinCount="100000" sheet="1" objects="1" scenarios="1"/>
  <mergeCells count="37"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6.961284990492745E-3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6.5716451822058885E-3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43jW4tY1Oy61IzcE6ezkNiYUdxf04A7QvXQ3WZivfSSeNf21GOHOFObVz49q1A3Luq8EIp+Ik1tEcX534yi70g==" saltValue="sxHTAFTPSzvWhEU1W8AIR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2021-09-15T13:39:18Z</dcterms:modified>
</cp:coreProperties>
</file>