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aderslev Spildevand AS (S03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30" i="2" l="1"/>
  <c r="C26" i="15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4" i="36" s="1"/>
  <c r="C17" i="21"/>
  <c r="C18" i="21" s="1"/>
  <c r="G46" i="30" s="1"/>
  <c r="E30" i="21" l="1"/>
  <c r="G61" i="36" s="1"/>
  <c r="C30" i="21"/>
  <c r="G60" i="30" s="1"/>
  <c r="E24" i="21"/>
  <c r="G55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7" i="36" l="1"/>
  <c r="G11" i="36" l="1"/>
  <c r="G14" i="36" l="1"/>
  <c r="G18" i="36" l="1"/>
  <c r="G20" i="36" s="1"/>
  <c r="G16" i="30"/>
  <c r="G20" i="30" s="1"/>
  <c r="G24" i="36" l="1"/>
  <c r="G26" i="36" s="1"/>
  <c r="G22" i="30"/>
  <c r="G30" i="36" l="1"/>
  <c r="G26" i="30"/>
  <c r="G32" i="36" l="1"/>
  <c r="F11" i="11"/>
  <c r="C10" i="37" s="1"/>
  <c r="C13" i="37" s="1"/>
  <c r="C14" i="37" s="1"/>
  <c r="G11" i="11"/>
  <c r="G36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7" i="36" s="1"/>
  <c r="G34" i="30"/>
  <c r="E18" i="27" s="1"/>
  <c r="G43" i="36" l="1"/>
  <c r="G38" i="36"/>
  <c r="G42" i="36" s="1"/>
  <c r="G38" i="30"/>
  <c r="E20" i="27"/>
  <c r="E33" i="27" s="1"/>
  <c r="C9" i="2" l="1"/>
  <c r="C16" i="2" s="1"/>
  <c r="G40" i="30"/>
  <c r="G44" i="30" s="1"/>
  <c r="G47" i="30" s="1"/>
  <c r="G53" i="30" s="1"/>
  <c r="G45" i="36"/>
  <c r="G54" i="36" s="1"/>
  <c r="C19" i="2"/>
  <c r="G56" i="36" l="1"/>
  <c r="C15" i="15"/>
  <c r="G60" i="36" l="1"/>
  <c r="G62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<sst xmlns="http://schemas.openxmlformats.org/spreadsheetml/2006/main" count="711" uniqueCount="288">
  <si>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</si>
  <si>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</si>
  <si>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</si>
  <si>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</si>
  <si>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</si>
  <si>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</si>
  <si>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</si>
  <si>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</si>
  <si>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</si>
  <si>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</si>
  <si>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</si>
  <si>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</si>
  <si>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</si>
  <si>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</si>
  <si>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</si>
  <si>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</si>
  <si>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</si>
  <si>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</si>
  <si>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</si>
  <si>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</si>
  <si>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</si>
  <si>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</si>
  <si>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</si>
  <si>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</si>
  <si>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</si>
  <si>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</si>
  <si>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</si>
  <si>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</si>
  <si>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</si>
  <si>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</si>
  <si>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</si>
  <si>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</si>
  <si>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</si>
  <si>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</si>
  <si>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</si>
  <si>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</si>
  <si>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</si>
  <si>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</si>
  <si>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</si>
  <si>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</si>
  <si>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</si>
  <si>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</si>
  <si>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</si>
  <si>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</si>
  <si>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</si>
  <si>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</si>
  <si>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</si>
  <si>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</si>
  <si>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</si>
  <si>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</si>
  <si>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</si>
  <si>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</si>
  <si>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</si>
  <si>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</si>
  <si>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</si>
  <si>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</si>
  <si>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</si>
  <si>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</si>
  <si>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</si>
  <si>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</si>
  <si>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</si>
  <si>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</si>
  <si>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</si>
  <si>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</si>
  <si>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</si>
  <si>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</si>
  <si>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</si>
  <si>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</si>
  <si>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</si>
  <si>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</si>
  <si>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</si>
  <si>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</si>
  <si>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</si>
  <si>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</si>
  <si>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</si>
  <si>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</si>
  <si>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</si>
  <si>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</si>
  <si>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</si>
  <si>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</si>
  <si>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</si>
  <si>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</si>
  <si>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</si>
  <si>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</si>
  <si>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</si>
  <si>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</si>
  <si>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</si>
  <si>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</si>
  <si>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</si>
  <si>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</si>
  <si>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</si>
  <si>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</si>
  <si>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</si>
  <si>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</si>
  <si>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</si>
  <si>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</si>
  <si>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</si>
  <si>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</si>
  <si>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</si>
  <si>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</si>
  <si>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</si>
  <si>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</si>
  <si>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</si>
  <si>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</si>
  <si>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</si>
  <si>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</si>
  <si>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</si>
  <si>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</si>
  <si>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</si>
  <si>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</si>
  <si>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</si>
  <si>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</si>
  <si>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</si>
  <si>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</si>
  <si>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</si>
  <si>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</si>
  <si>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</si>
  <si>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</si>
  <si>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</si>
  <si>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</si>
  <si>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</si>
  <si>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</si>
  <si>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</si>
  <si>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</si>
  <si>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</si>
  <si>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</si>
  <si>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</si>
  <si>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</si>
  <si>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</si>
  <si>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</si>
  <si>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</si>
  <si>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</si>
  <si>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</si>
  <si>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</si>
  <si>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</si>
  <si>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</si>
  <si>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</si>
  <si>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</si>
  <si>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</si>
  <si>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</si>
  <si>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</si>
  <si>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</si>
  <si>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</si>
  <si>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</si>
  <si>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</si>
  <si>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</si>
  <si>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</si>
  <si>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</si>
  <si>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</si>
  <si>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</si>
  <si>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</si>
  <si>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</si>
  <si>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</si>
  <si>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</si>
  <si>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</si>
  <si>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</si>
  <si>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</si>
  <si>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</si>
  <si>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</si>
  <si>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</si>
  <si>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</si>
  <si>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</si>
  <si>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</si>
  <si>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</si>
  <si>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</si>
  <si>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</si>
  <si>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</si>
  <si>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</si>
  <si>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</si>
  <si>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</si>
  <si>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</si>
  <si>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</si>
  <si>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</si>
  <si>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</si>
  <si>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</si>
  <si>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</si>
  <si>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</si>
  <si>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</si>
  <si>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</si>
  <si>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</si>
  <si>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</si>
  <si>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</si>
  <si>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</si>
  <si>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</si>
  <si>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</si>
  <si>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</si>
  <si>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</si>
  <si>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</si>
  <si>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</si>
  <si>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</si>
  <si>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</si>
  <si>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</si>
  <si>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</si>
  <si>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</si>
  <si>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</si>
  <si>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</si>
  <si>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</si>
  <si>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</si>
  <si>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</si>
  <si>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</si>
  <si>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</si>
  <si>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</si>
  <si>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</si>
  <si>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</si>
  <si>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</si>
  <si>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</si>
  <si>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</si>
  <si>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</si>
  <si>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</si>
  <si>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</si>
  <si>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</si>
  <si>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</si>
  <si>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</si>
  <si>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</si>
  <si>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</si>
  <si>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</si>
  <si>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</si>
  <si>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</si>
  <si>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</si>
  <si>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</si>
  <si>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</si>
  <si>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</si>
  <si>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</si>
  <si>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</si>
  <si>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</si>
  <si>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</si>
  <si>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</si>
  <si>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</si>
  <si>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</si>
  <si>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</si>
  <si>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</si>
  <si>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</si>
  <si>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</si>
  <si>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</si>
  <si>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</si>
  <si>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</si>
  <si>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</si>
  <si>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</si>
  <si>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</si>
  <si>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</si>
  <si>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</si>
  <si>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</si>
  <si>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</si>
  <si>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</si>
  <si>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</si>
  <si>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</si>
  <si>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</si>
  <si>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</si>
  <si>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</si>
  <si>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</si>
  <si>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</si>
  <si>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</si>
  <si>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</si>
  <si>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</si>
  <si>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</si>
  <si>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</si>
  <si>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</si>
  <si>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</si>
  <si>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</si>
  <si>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</si>
  <si>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</si>
  <si>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</si>
  <si>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</si>
  <si>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</si>
  <si>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</si>
  <si>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</si>
  <si>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</si>
  <si>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</si>
  <si>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</si>
  <si>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</si>
  <si>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</si>
  <si>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</si>
  <si>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</si>
  <si>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</si>
  <si>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</si>
  <si>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</si>
  <si>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</si>
  <si>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</si>
  <si>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</si>
  <si>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</si>
  <si>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Nye tilslutninger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</si>
  <si>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</si>
  <si>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</si>
  <si>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</si>
  <si>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Separatkloakering, ledningsregistrering mm.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</si>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</sst>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3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81" t="s">
        <v>286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245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17</v>
      </c>
      <c r="D14" s="70" t="s">
        <v>246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37</v>
      </c>
      <c r="D15" s="70" t="s">
        <v>160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38</v>
      </c>
      <c r="D16" s="70" t="s">
        <v>247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144</v>
      </c>
      <c r="D17" s="70" t="s">
        <v>248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124</v>
      </c>
      <c r="D18" s="82" t="s">
        <v>110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125</v>
      </c>
      <c r="D19" s="82" t="s">
        <v>111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10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126</v>
      </c>
      <c r="D21" s="74" t="s">
        <v>13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91</v>
      </c>
      <c r="D22" s="77" t="s">
        <v>249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8</v>
      </c>
      <c r="D23" s="77" t="s">
        <v>195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9</v>
      </c>
      <c r="D24" s="77" t="s">
        <v>39</v>
      </c>
      <c r="E24" s="78"/>
      <c r="F24" s="78"/>
      <c r="G24" s="79"/>
      <c r="H24" s="1"/>
      <c r="I24" s="1"/>
    </row>
    <row r="25" spans="1:9" x14ac:dyDescent="0.25">
      <c r="A25" s="1"/>
      <c r="B25" s="1"/>
      <c r="C25" s="6" t="s">
        <v>127</v>
      </c>
      <c r="D25" s="77" t="s">
        <v>92</v>
      </c>
      <c r="E25" s="78"/>
      <c r="F25" s="78"/>
      <c r="G25" s="79"/>
      <c r="H25" s="1"/>
      <c r="I25" s="1"/>
    </row>
    <row r="26" spans="1:9" x14ac:dyDescent="0.25">
      <c r="A26" s="1"/>
      <c r="B26" s="1"/>
      <c r="C26" s="6" t="s">
        <v>128</v>
      </c>
      <c r="D26" s="77" t="s">
        <v>93</v>
      </c>
      <c r="E26" s="78"/>
      <c r="F26" s="78"/>
      <c r="G26" s="79"/>
      <c r="H26" s="1"/>
      <c r="I26" s="1"/>
    </row>
    <row r="27" spans="1:9" x14ac:dyDescent="0.25">
      <c r="A27" s="1"/>
      <c r="B27" s="1"/>
      <c r="C27" s="6" t="s">
        <v>129</v>
      </c>
      <c r="D27" s="77" t="s">
        <v>94</v>
      </c>
      <c r="E27" s="78"/>
      <c r="F27" s="78"/>
      <c r="G27" s="79"/>
      <c r="H27" s="1"/>
      <c r="I27" s="1"/>
    </row>
    <row r="28" spans="1:9" x14ac:dyDescent="0.25">
      <c r="A28" s="1"/>
      <c r="B28" s="1"/>
      <c r="C28" s="6" t="s">
        <v>16</v>
      </c>
      <c r="D28" s="77" t="s">
        <v>161</v>
      </c>
      <c r="E28" s="78"/>
      <c r="F28" s="78"/>
      <c r="G28" s="79"/>
      <c r="H28" s="1"/>
      <c r="I28" s="1"/>
    </row>
    <row r="29" spans="1:9" x14ac:dyDescent="0.25">
      <c r="A29" s="1"/>
      <c r="B29" s="1"/>
      <c r="C29" s="6" t="s">
        <v>41</v>
      </c>
      <c r="D29" s="77" t="s">
        <v>40</v>
      </c>
      <c r="E29" s="78"/>
      <c r="F29" s="78"/>
      <c r="G29" s="79"/>
      <c r="H29" s="1"/>
      <c r="I29" s="1"/>
    </row>
    <row r="30" spans="1:9" x14ac:dyDescent="0.25">
      <c r="A30" s="1"/>
      <c r="B30" s="1"/>
      <c r="C30" s="6" t="s">
        <v>42</v>
      </c>
      <c r="D30" s="85" t="s">
        <v>123</v>
      </c>
      <c r="E30" s="86"/>
      <c r="F30" s="86"/>
      <c r="G30" s="8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H7WBFEDgYMa2Q/ah1r/8jJTpnwVFlYLW10s8VY4VIg9KMP0F8+AgIxuEXsHOA80997jf2LhETU3ESX0PXLjMA==" saltValue="/WMl0unVDxsTe6MlLrzAE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208</v>
      </c>
      <c r="C8" s="97"/>
      <c r="D8" s="98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262</v>
      </c>
      <c r="C10" s="9">
        <v>2564928.94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263</v>
      </c>
      <c r="C11" s="9">
        <v>87068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77229.429999999993</v>
      </c>
      <c r="D12" s="14" t="s">
        <v>3</v>
      </c>
      <c r="E12" s="1"/>
      <c r="F12" s="1"/>
    </row>
    <row r="13" spans="1:6" x14ac:dyDescent="0.25">
      <c r="A13" s="1"/>
      <c r="B13" s="65" t="s">
        <v>265</v>
      </c>
      <c r="C13" s="9">
        <v>673038.2</v>
      </c>
      <c r="D13" s="14" t="s">
        <v>3</v>
      </c>
      <c r="E13" s="1"/>
      <c r="F13" s="1"/>
    </row>
    <row r="14" spans="1:6" x14ac:dyDescent="0.25">
      <c r="A14" s="1"/>
      <c r="B14" s="65" t="s">
        <v>266</v>
      </c>
      <c r="C14" s="9">
        <v>80393.119999999995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3482657.6900000004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3505681.1568962452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6" t="s">
        <v>142</v>
      </c>
      <c r="C19" s="97"/>
      <c r="D19" s="98"/>
      <c r="E19" s="1"/>
      <c r="F19" s="1"/>
    </row>
    <row r="20" spans="1:6" x14ac:dyDescent="0.25">
      <c r="A20" s="1"/>
      <c r="B20" s="65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5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6"/>
      <c r="C24" s="97"/>
      <c r="D24" s="9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6" t="s">
        <v>115</v>
      </c>
      <c r="C27" s="97"/>
      <c r="D27" s="98"/>
      <c r="E27" s="1"/>
      <c r="F27" s="1"/>
    </row>
    <row r="28" spans="1:6" x14ac:dyDescent="0.25">
      <c r="A28" s="1"/>
      <c r="B28" s="65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6"/>
      <c r="C32" s="97"/>
      <c r="D32" s="9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7ca+72ZUqdnOs5g45W9E42XfLwgT5zDoon+uLAJbc/2917eJwInEcY5LV2ntVgwj5WHfoZSzDClcpfvwCMl+Dg==" saltValue="D9XBkxQA9+hT2DIXzxt1I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212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268</v>
      </c>
      <c r="C8" s="97"/>
      <c r="D8" s="97"/>
      <c r="E8" s="97"/>
      <c r="F8" s="98"/>
      <c r="G8" s="1"/>
    </row>
    <row r="9" spans="1:7" x14ac:dyDescent="0.25">
      <c r="A9" s="1"/>
      <c r="B9" s="105" t="s">
        <v>269</v>
      </c>
      <c r="C9" s="106"/>
      <c r="D9" s="107"/>
      <c r="E9" s="9">
        <v>6022519.2837202251</v>
      </c>
      <c r="F9" s="14" t="s">
        <v>3</v>
      </c>
      <c r="G9" s="1"/>
    </row>
    <row r="10" spans="1:7" x14ac:dyDescent="0.25">
      <c r="A10" s="1"/>
      <c r="B10" s="105" t="s">
        <v>270</v>
      </c>
      <c r="C10" s="106"/>
      <c r="D10" s="107"/>
      <c r="E10" s="9">
        <v>-5538918.23151353</v>
      </c>
      <c r="F10" s="14" t="s">
        <v>3</v>
      </c>
      <c r="G10" s="1"/>
    </row>
    <row r="11" spans="1:7" x14ac:dyDescent="0.25">
      <c r="A11" s="1"/>
      <c r="B11" s="105" t="s">
        <v>271</v>
      </c>
      <c r="C11" s="106"/>
      <c r="D11" s="107"/>
      <c r="E11" s="9">
        <v>0</v>
      </c>
      <c r="F11" s="14" t="s">
        <v>3</v>
      </c>
      <c r="G11" s="1"/>
    </row>
    <row r="12" spans="1:7" x14ac:dyDescent="0.25">
      <c r="A12" s="1"/>
      <c r="B12" s="105" t="s">
        <v>272</v>
      </c>
      <c r="C12" s="106"/>
      <c r="D12" s="107"/>
      <c r="E12" s="9">
        <v>710172.42453813553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9" t="s">
        <v>273</v>
      </c>
      <c r="C14" s="100"/>
      <c r="D14" s="100"/>
      <c r="E14" s="100"/>
      <c r="F14" s="10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274</v>
      </c>
      <c r="C16" s="97"/>
      <c r="D16" s="97"/>
      <c r="E16" s="97"/>
      <c r="F16" s="98"/>
      <c r="G16" s="1"/>
    </row>
    <row r="17" spans="1:7" x14ac:dyDescent="0.25">
      <c r="A17" s="1"/>
      <c r="B17" s="105" t="s">
        <v>275</v>
      </c>
      <c r="C17" s="106"/>
      <c r="D17" s="107"/>
      <c r="E17" s="9">
        <v>0</v>
      </c>
      <c r="F17" s="14" t="s">
        <v>3</v>
      </c>
      <c r="G17" s="1"/>
    </row>
    <row r="18" spans="1:7" x14ac:dyDescent="0.25">
      <c r="A18" s="1"/>
      <c r="B18" s="105" t="s">
        <v>276</v>
      </c>
      <c r="C18" s="106"/>
      <c r="D18" s="107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9" t="s">
        <v>277</v>
      </c>
      <c r="C20" s="100"/>
      <c r="D20" s="100"/>
      <c r="E20" s="100"/>
      <c r="F20" s="10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110891260.62319769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110334471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278</v>
      </c>
      <c r="C26" s="60"/>
      <c r="D26" s="67"/>
      <c r="E26" s="48">
        <f>E23-(E24-E25)</f>
        <v>556789.62319768965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6" t="s">
        <v>186</v>
      </c>
      <c r="C30" s="97"/>
      <c r="D30" s="97"/>
      <c r="E30" s="97"/>
      <c r="F30" s="98"/>
      <c r="G30" s="1"/>
    </row>
    <row r="31" spans="1:7" x14ac:dyDescent="0.25">
      <c r="A31" s="1"/>
      <c r="B31" s="120" t="s">
        <v>282</v>
      </c>
      <c r="C31" s="121"/>
      <c r="D31" s="122"/>
      <c r="E31" s="9">
        <v>0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99" t="s">
        <v>281</v>
      </c>
      <c r="C36" s="100"/>
      <c r="D36" s="100"/>
      <c r="E36" s="100"/>
      <c r="F36" s="10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Hnomz4CeJGzi7qIQ9Ktxn6tJY42Nye0KIjtJaEWEFdEPSzpvRo5fYeDl1Yx1jiPrIO8u6lO5cgwKzG6fTKmfLA==" saltValue="quaGG5+3mZajLKDh2DUseg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217</v>
      </c>
      <c r="C9" s="97"/>
      <c r="D9" s="97"/>
      <c r="E9" s="97"/>
      <c r="F9" s="98"/>
      <c r="G9" s="1"/>
    </row>
    <row r="10" spans="1:7" x14ac:dyDescent="0.25">
      <c r="A10" s="1"/>
      <c r="B10" s="99" t="s">
        <v>118</v>
      </c>
      <c r="C10" s="100"/>
      <c r="D10" s="101"/>
      <c r="E10" s="7">
        <v>8544922.3307363801</v>
      </c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>
        <v>5107163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-3437759.3307363801</v>
      </c>
      <c r="F12" s="11" t="s">
        <v>3</v>
      </c>
      <c r="G12" s="1"/>
    </row>
    <row r="13" spans="1:7" x14ac:dyDescent="0.25">
      <c r="A13" s="1"/>
      <c r="B13" s="96" t="s">
        <v>109</v>
      </c>
      <c r="C13" s="97"/>
      <c r="D13" s="97"/>
      <c r="E13" s="97"/>
      <c r="F13" s="98"/>
      <c r="G13" s="1"/>
    </row>
    <row r="14" spans="1:7" x14ac:dyDescent="0.2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25">
      <c r="A15" s="1"/>
      <c r="B15" s="99" t="s">
        <v>220</v>
      </c>
      <c r="C15" s="100"/>
      <c r="D15" s="10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-3437759.3307363801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hb3aZWhJI2N8hR+96i1niZ4Zz4mwMcSW3fH5ijHWL66ooHokbY8yKWKfkDZq/COlBZLC2gfmosPTsi358dx4g==" saltValue="dPu8O4veZYVukdGuUJpzN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178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283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6" t="s">
        <v>179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VpvwDJRASJevSiwqP+2Cd4mHP+yvnVHb6CVTAogHJdpYjcZ8IQkHl8lieNxg2YArrjcgie4ngVUlSBWCavyvg==" saltValue="ywXzmUAYydR3fBH7IB8u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284</v>
      </c>
      <c r="C11" s="22">
        <v>859557</v>
      </c>
      <c r="D11" s="14" t="s">
        <v>3</v>
      </c>
      <c r="E11" s="9">
        <v>117349</v>
      </c>
      <c r="F11" s="14" t="s">
        <v>3</v>
      </c>
      <c r="G11" s="1"/>
    </row>
    <row r="12" spans="1:7" x14ac:dyDescent="0.25">
      <c r="A12" s="1"/>
      <c r="B12" s="25" t="s">
        <v>280</v>
      </c>
      <c r="C12" s="22">
        <v>23617</v>
      </c>
      <c r="D12" s="14" t="s">
        <v>3</v>
      </c>
      <c r="E12" s="9">
        <v>34084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883174</v>
      </c>
      <c r="D13" s="13" t="s">
        <v>3</v>
      </c>
      <c r="E13" s="12">
        <f>SUM(E10:E12)</f>
        <v>151433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886088.47420000006</v>
      </c>
      <c r="D14" s="13" t="s">
        <v>3</v>
      </c>
      <c r="E14" s="12">
        <f>E13*(1+'Fane 14. Nøgletal'!C14)</f>
        <v>151932.72890000002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T9e/oWsrUbiQMggXWNDhcJvcpA8kKiuTf2GZfOLv4455onbeLX0+fXbt4TdWJorOqsuicH7vklbKQHomp9Uog==" saltValue="ZLZfupY6JlsLcimmHRLkZ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112</v>
      </c>
      <c r="C8" s="97"/>
      <c r="D8" s="97"/>
      <c r="E8" s="97"/>
      <c r="F8" s="98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113</v>
      </c>
      <c r="C16" s="97"/>
      <c r="D16" s="97"/>
      <c r="E16" s="97"/>
      <c r="F16" s="98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166</v>
      </c>
      <c r="C24" s="97"/>
      <c r="D24" s="97"/>
      <c r="E24" s="97"/>
      <c r="F24" s="98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224</v>
      </c>
      <c r="C32" s="97"/>
      <c r="D32" s="97"/>
      <c r="E32" s="97"/>
      <c r="F32" s="98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d6K+V+UnwoBiHElWpM8U8o80naJjzNX/gnZmLYCxiT/LzlhMfy6gMUl74keOoV4CwAR2jYaKsg64EoKai4bag==" saltValue="XwZiheTYiVebf0jTf7x4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04"/>
      <c r="C5" s="104"/>
      <c r="D5" s="104"/>
      <c r="E5" s="104"/>
      <c r="F5" s="10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103</v>
      </c>
      <c r="C8" s="97"/>
      <c r="D8" s="97"/>
      <c r="E8" s="97"/>
      <c r="F8" s="98"/>
      <c r="G8" s="1"/>
    </row>
    <row r="9" spans="1:7" x14ac:dyDescent="0.25">
      <c r="A9" s="1"/>
      <c r="B9" s="124" t="s">
        <v>226</v>
      </c>
      <c r="C9" s="125"/>
      <c r="D9" s="126"/>
      <c r="E9" s="9">
        <v>956375.27069102146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krav'!G12</f>
        <v>-10159.615001928132</v>
      </c>
      <c r="F10" s="14" t="s">
        <v>3</v>
      </c>
      <c r="G10" s="1"/>
    </row>
    <row r="11" spans="1:7" x14ac:dyDescent="0.25">
      <c r="A11" s="1"/>
      <c r="B11" s="90" t="s">
        <v>26</v>
      </c>
      <c r="C11" s="91"/>
      <c r="D11" s="92"/>
      <c r="E11" s="9">
        <f>-E9*'Fane 14. Nøgletal'!C29</f>
        <v>-19127.505413820429</v>
      </c>
      <c r="F11" s="14" t="s">
        <v>3</v>
      </c>
      <c r="G11" s="1"/>
    </row>
    <row r="12" spans="1:7" x14ac:dyDescent="0.25">
      <c r="A12" s="1"/>
      <c r="B12" s="96" t="s">
        <v>105</v>
      </c>
      <c r="C12" s="97"/>
      <c r="D12" s="98"/>
      <c r="E12" s="12">
        <f>SUM(E9:E11)*(1+'Fane 14. Nøgletal'!C14)^2</f>
        <v>933217.02805704635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104</v>
      </c>
      <c r="C14" s="97"/>
      <c r="D14" s="97"/>
      <c r="E14" s="97"/>
      <c r="F14" s="98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938589.64159259363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krav'!G12</f>
        <v>-9970.6775108148831</v>
      </c>
      <c r="F16" s="14" t="s">
        <v>3</v>
      </c>
      <c r="G16" s="1"/>
    </row>
    <row r="17" spans="1:7" x14ac:dyDescent="0.25">
      <c r="A17" s="1"/>
      <c r="B17" s="90" t="s">
        <v>26</v>
      </c>
      <c r="C17" s="91"/>
      <c r="D17" s="92"/>
      <c r="E17" s="9">
        <f>-E15*'Fane 14. Nøgletal'!C29</f>
        <v>-18771.792831851872</v>
      </c>
      <c r="F17" s="14" t="s">
        <v>3</v>
      </c>
      <c r="G17" s="1"/>
    </row>
    <row r="18" spans="1:7" x14ac:dyDescent="0.25">
      <c r="A18" s="1"/>
      <c r="B18" s="96" t="s">
        <v>106</v>
      </c>
      <c r="C18" s="97"/>
      <c r="D18" s="98"/>
      <c r="E18" s="12">
        <f>SUM(E15:E17)*(1+'Fane 14. Nøgletal'!C14)^3</f>
        <v>918884.41564956389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155</v>
      </c>
      <c r="C20" s="97"/>
      <c r="D20" s="97"/>
      <c r="E20" s="97"/>
      <c r="F20" s="98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904862.07598820445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krav'!G12</f>
        <v>-9612.3881530763847</v>
      </c>
      <c r="F22" s="14" t="s">
        <v>3</v>
      </c>
      <c r="G22" s="1"/>
    </row>
    <row r="23" spans="1:7" x14ac:dyDescent="0.25">
      <c r="A23" s="1"/>
      <c r="B23" s="90" t="s">
        <v>26</v>
      </c>
      <c r="C23" s="91"/>
      <c r="D23" s="92"/>
      <c r="E23" s="9">
        <f>-E21*'Fane 14. Nøgletal'!C29</f>
        <v>-18097.241519764091</v>
      </c>
      <c r="F23" s="14" t="s">
        <v>3</v>
      </c>
      <c r="G23" s="1"/>
    </row>
    <row r="24" spans="1:7" x14ac:dyDescent="0.25">
      <c r="A24" s="1"/>
      <c r="B24" s="96" t="s">
        <v>156</v>
      </c>
      <c r="C24" s="97"/>
      <c r="D24" s="98"/>
      <c r="E24" s="12">
        <f>SUM(E21:E23)*(1+'Fane 14. Nøgletal'!C14)^4</f>
        <v>888788.29794050253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892406.69641627453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krav'!G12</f>
        <v>-9480.0741284129745</v>
      </c>
      <c r="F28" s="14" t="s">
        <v>3</v>
      </c>
      <c r="G28" s="1"/>
    </row>
    <row r="29" spans="1:7" x14ac:dyDescent="0.25">
      <c r="A29" s="1"/>
      <c r="B29" s="90" t="s">
        <v>26</v>
      </c>
      <c r="C29" s="91"/>
      <c r="D29" s="92"/>
      <c r="E29" s="9">
        <f>-E27*'Fane 14. Nøgletal'!C29</f>
        <v>-17848.133928325489</v>
      </c>
      <c r="F29" s="14" t="s">
        <v>3</v>
      </c>
      <c r="G29" s="1"/>
    </row>
    <row r="30" spans="1:7" x14ac:dyDescent="0.25">
      <c r="A30" s="1"/>
      <c r="B30" s="96" t="s">
        <v>228</v>
      </c>
      <c r="C30" s="97"/>
      <c r="D30" s="98"/>
      <c r="E30" s="12">
        <f>SUM(E27:E29)*(1+'Fane 14. Nøgletal'!C14)^5</f>
        <v>879446.80186140339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qWlMN6TsjZoU9aQszBZDQ7LdJ548xW/5m55IjWvqmJpB1VJoOYBPYeImSlX2FqeuM7XCgmF24zZN994PYwO/w==" saltValue="r3BJHugZz/jW1BoSNQLgU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157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158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43xR1Y9oyxAAJ1gU5bhZsU3fW3u7fGHFU2t3lG7lctGJtnLIQVtewyAw0RkADJ5icc8xA3t6vcjUlwaJIaHNyw==" saltValue="cg25NGDKc0qJ3MHoHEWY7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133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107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108</v>
      </c>
      <c r="C14" s="97"/>
      <c r="D14" s="97"/>
      <c r="E14" s="97"/>
      <c r="F14" s="9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169</v>
      </c>
      <c r="C20" s="97"/>
      <c r="D20" s="97"/>
      <c r="E20" s="97"/>
      <c r="F20" s="9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231</v>
      </c>
      <c r="C26" s="97"/>
      <c r="D26" s="97"/>
      <c r="E26" s="97"/>
      <c r="F26" s="9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CDeh+6TnLhstekLV2Tl8p1VRvvAqMgHDlX3Ji0Run651+rNTpiQE+G8gIQLHaQPMis8DSEBYUupLd2VaVoSNw==" saltValue="Ng/8FmVRxNOep81GJiI8T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189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LhKbHo59YlcQ/skOFXZAKHRH5u+qOdlRlgRzOFuCl1QUmqriQKPwsuyBxJtiy5/MTL2AEXhAbtReI2EdzeruJg==" saltValue="BMpjh67AopmAaehsUFczW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106333369.55739397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tillæg'!C14</f>
        <v>886088.47420000006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tillæg'!E14</f>
        <v>151932.72890000002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354325.58950963005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-1144374.8468445486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-702202.341161847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anlæg'!G38</f>
        <v>-1177851.1738968289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104701287.98810036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3505681.1568962452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933217.02805704635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287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-3437759.3307363801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105702426.84231728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3e8oBwXVNiZ+XZ3ln4MnhkRnOvn7xOPwgk7FOsHs6sMxsHWLhX9pMP7PDDN5ByTqIJTtkcVvbbQp8mQqG1MCQ==" saltValue="QaGkca7auhVV3iLq5kpX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/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104701287.98810036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345514.25036073121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-1115916.6287887439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-690429.21670992754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anlæg'!G45</f>
        <v>-1164248.3591456823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102076208.03381674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3517249.9047140032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918884.41564956389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287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106512342.35418031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Sz6/BopA1dUBmv3MXyacgGtaI7RkJUsOWucDzOIpx0/kfWgFpLvYMcur62IGP5wZHlHbJvfXZXjccD9Q1dWUZQ==" saltValue="7c+Fvtiu8vLeH7XGQ1lZ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102076208.03381674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336851.48651159526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-1087938.2683580869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-678853.48046256881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anlæg'!G56</f>
        <v>-1150802.6411256464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99495465.130382031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3528856.8293995596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888788.29794050253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103913110.25772209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VnUebOBQF5tmr7zN0K9uj8iV1wVeyjvtEDvSIBtl1YEXENIxcmRFoV5QpF/1noUfXqoN+iNkn/wLle2DKPu2w==" saltValue="+ky2JVaQ0umEBJ+o0gkQ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99495465.130382031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328335.03493026068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-1060432.4565776372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-667471.82300913346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anlæg'!G62</f>
        <v>-1137512.2055517088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96958383.680173799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3540502.0569365784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879446.80186140339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101378332.53897178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cD1jEXCX7O6fmhmfLkKD1vfnyNxNcJLV/iaJlZyFwFAzza8zv6XsBxXn7SR/kk8GhoCCEEl7xJlNnjpngdUfg==" saltValue="gnMDFJ0NFmsub3FOEiqy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250</v>
      </c>
      <c r="C3" s="104"/>
      <c r="D3" s="104"/>
      <c r="E3" s="104"/>
      <c r="F3" s="104"/>
      <c r="G3" s="1"/>
    </row>
    <row r="4" spans="1:7" ht="29.2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9" t="s">
        <v>25</v>
      </c>
      <c r="C9" s="100"/>
      <c r="D9" s="101"/>
      <c r="E9" s="7">
        <v>99552637.866911188</v>
      </c>
      <c r="F9" s="8" t="s">
        <v>3</v>
      </c>
      <c r="G9" s="1"/>
    </row>
    <row r="10" spans="1:7" ht="15" customHeight="1" x14ac:dyDescent="0.25">
      <c r="A10" s="1"/>
      <c r="B10" s="90" t="s">
        <v>43</v>
      </c>
      <c r="C10" s="91"/>
      <c r="D10" s="92"/>
      <c r="E10" s="7">
        <v>4279516.8191999998</v>
      </c>
      <c r="F10" s="8" t="s">
        <v>3</v>
      </c>
      <c r="G10" s="1"/>
    </row>
    <row r="11" spans="1:7" ht="15" customHeight="1" x14ac:dyDescent="0.25">
      <c r="A11" s="1"/>
      <c r="B11" s="90" t="s">
        <v>44</v>
      </c>
      <c r="C11" s="91"/>
      <c r="D11" s="92"/>
      <c r="E11" s="9">
        <v>4291136.8751999997</v>
      </c>
      <c r="F11" s="8" t="s">
        <v>3</v>
      </c>
      <c r="G11" s="1"/>
    </row>
    <row r="12" spans="1:7" ht="15" customHeight="1" x14ac:dyDescent="0.25">
      <c r="A12" s="1"/>
      <c r="B12" s="90" t="s">
        <v>29</v>
      </c>
      <c r="C12" s="91"/>
      <c r="D12" s="92"/>
      <c r="E12" s="9">
        <v>0</v>
      </c>
      <c r="F12" s="8" t="s">
        <v>3</v>
      </c>
      <c r="G12" s="1"/>
    </row>
    <row r="13" spans="1:7" ht="15" customHeight="1" x14ac:dyDescent="0.25">
      <c r="A13" s="1"/>
      <c r="B13" s="99" t="s">
        <v>28</v>
      </c>
      <c r="C13" s="100"/>
      <c r="D13" s="101"/>
      <c r="E13" s="9">
        <v>0</v>
      </c>
      <c r="F13" s="8" t="s">
        <v>3</v>
      </c>
      <c r="G13" s="1"/>
    </row>
    <row r="14" spans="1:7" ht="15" customHeight="1" x14ac:dyDescent="0.25">
      <c r="A14" s="1"/>
      <c r="B14" s="99" t="s">
        <v>31</v>
      </c>
      <c r="C14" s="100"/>
      <c r="D14" s="101"/>
      <c r="E14" s="9">
        <v>0</v>
      </c>
      <c r="F14" s="8" t="s">
        <v>3</v>
      </c>
      <c r="G14" s="1"/>
    </row>
    <row r="15" spans="1:7" ht="15" customHeight="1" x14ac:dyDescent="0.25">
      <c r="A15" s="1"/>
      <c r="B15" s="99" t="s">
        <v>30</v>
      </c>
      <c r="C15" s="100"/>
      <c r="D15" s="101"/>
      <c r="E15" s="9">
        <v>0</v>
      </c>
      <c r="F15" s="8" t="s">
        <v>3</v>
      </c>
      <c r="G15" s="1"/>
    </row>
    <row r="16" spans="1:7" ht="15" customHeight="1" x14ac:dyDescent="0.25">
      <c r="A16" s="1"/>
      <c r="B16" s="99" t="s">
        <v>20</v>
      </c>
      <c r="C16" s="100"/>
      <c r="D16" s="101"/>
      <c r="E16" s="9">
        <v>2065748.9410498303</v>
      </c>
      <c r="F16" s="8" t="s">
        <v>3</v>
      </c>
      <c r="G16" s="1"/>
    </row>
    <row r="17" spans="1:7" ht="15" customHeight="1" x14ac:dyDescent="0.25">
      <c r="A17" s="1"/>
      <c r="B17" s="99" t="s">
        <v>10</v>
      </c>
      <c r="C17" s="100"/>
      <c r="D17" s="101"/>
      <c r="E17" s="9">
        <v>-849427.1327338902</v>
      </c>
      <c r="F17" s="8" t="s">
        <v>3</v>
      </c>
      <c r="G17" s="1"/>
    </row>
    <row r="18" spans="1:7" ht="15" customHeight="1" x14ac:dyDescent="0.25">
      <c r="A18" s="1"/>
      <c r="B18" s="99" t="s">
        <v>26</v>
      </c>
      <c r="C18" s="100"/>
      <c r="D18" s="101"/>
      <c r="E18" s="9">
        <f>-'Fane 4.1. Gen. krav - drift'!G34</f>
        <v>-696092.78141169832</v>
      </c>
      <c r="F18" s="8" t="s">
        <v>3</v>
      </c>
      <c r="G18" s="1"/>
    </row>
    <row r="19" spans="1:7" ht="15" customHeight="1" x14ac:dyDescent="0.25">
      <c r="A19" s="1"/>
      <c r="B19" s="99" t="s">
        <v>27</v>
      </c>
      <c r="C19" s="100"/>
      <c r="D19" s="101"/>
      <c r="E19" s="9">
        <f>-'Fane 4.2. Gen. krav - anlæg'!G32</f>
        <v>-2310151.0308214547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106333369.55739397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3" t="s">
        <v>13</v>
      </c>
      <c r="C22" s="94"/>
      <c r="D22" s="95"/>
      <c r="E22" s="10">
        <v>8067624.3037025603</v>
      </c>
      <c r="F22" s="11" t="s">
        <v>3</v>
      </c>
      <c r="G22" s="1"/>
    </row>
    <row r="23" spans="1:7" ht="15" customHeight="1" x14ac:dyDescent="0.25">
      <c r="A23" s="1"/>
      <c r="B23" s="96" t="s">
        <v>94</v>
      </c>
      <c r="C23" s="97"/>
      <c r="D23" s="98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966814.40477476839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0" t="s">
        <v>89</v>
      </c>
      <c r="C26" s="91"/>
      <c r="D26" s="92"/>
      <c r="E26" s="9">
        <v>0</v>
      </c>
      <c r="F26" s="8" t="s">
        <v>3</v>
      </c>
      <c r="G26" s="1"/>
    </row>
    <row r="27" spans="1:7" ht="15" customHeight="1" x14ac:dyDescent="0.25">
      <c r="A27" s="1"/>
      <c r="B27" s="90" t="s">
        <v>90</v>
      </c>
      <c r="C27" s="91"/>
      <c r="D27" s="91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3" t="s">
        <v>185</v>
      </c>
      <c r="C30" s="94"/>
      <c r="D30" s="94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3" t="s">
        <v>148</v>
      </c>
      <c r="C32" s="94"/>
      <c r="D32" s="95"/>
      <c r="E32" s="10">
        <v>1426767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116794575.2658713</v>
      </c>
      <c r="F33" s="13" t="s">
        <v>3</v>
      </c>
      <c r="G33" s="1"/>
    </row>
    <row r="34" spans="1:7" ht="27" customHeight="1" x14ac:dyDescent="0.25">
      <c r="A34" s="1"/>
      <c r="B34" s="99" t="s">
        <v>252</v>
      </c>
      <c r="C34" s="100"/>
      <c r="D34" s="100"/>
      <c r="E34" s="100"/>
      <c r="F34" s="10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F7sQCZzrBZRgw+YWYQluVxRLT6UAmL/auErGimW7UAm0NpobxnqoLA45EkpZZQcfJO03rDsRldGN3kWNEWiaA==" saltValue="SZZNVUUAGIq1l7eounJQr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4" t="s">
        <v>130</v>
      </c>
      <c r="C2" s="104"/>
      <c r="D2" s="104"/>
      <c r="E2" s="104"/>
      <c r="F2" s="104"/>
      <c r="G2" s="104"/>
      <c r="H2" s="104"/>
      <c r="I2" s="1"/>
    </row>
    <row r="3" spans="1:9" ht="28.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6" t="s">
        <v>56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5" t="s">
        <v>45</v>
      </c>
      <c r="C6" s="106"/>
      <c r="D6" s="106"/>
      <c r="E6" s="106"/>
      <c r="F6" s="107"/>
      <c r="G6" s="69">
        <v>30637337</v>
      </c>
      <c r="H6" s="14" t="s">
        <v>3</v>
      </c>
      <c r="I6" s="1"/>
    </row>
    <row r="7" spans="1:9" x14ac:dyDescent="0.25">
      <c r="A7" s="1"/>
      <c r="B7" s="99" t="s">
        <v>145</v>
      </c>
      <c r="C7" s="100"/>
      <c r="D7" s="100"/>
      <c r="E7" s="100"/>
      <c r="F7" s="101"/>
      <c r="G7" s="69">
        <v>1455821</v>
      </c>
      <c r="H7" s="14" t="s">
        <v>3</v>
      </c>
      <c r="I7" s="1"/>
    </row>
    <row r="8" spans="1:9" x14ac:dyDescent="0.25">
      <c r="A8" s="1"/>
      <c r="B8" s="105" t="s">
        <v>46</v>
      </c>
      <c r="C8" s="106"/>
      <c r="D8" s="106"/>
      <c r="E8" s="106"/>
      <c r="F8" s="107"/>
      <c r="G8" s="69">
        <f>SUM(G6:G7)*'Fane 14. Nøgletal'!C29</f>
        <v>641863.16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57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5" t="s">
        <v>47</v>
      </c>
      <c r="C12" s="106"/>
      <c r="D12" s="106"/>
      <c r="E12" s="106"/>
      <c r="F12" s="107"/>
      <c r="G12" s="69">
        <f>(G6-G8)*(1+'Fane 14. Nøgletal'!C10)</f>
        <v>30520394.632200003</v>
      </c>
      <c r="H12" s="14" t="s">
        <v>3</v>
      </c>
      <c r="I12" s="1"/>
    </row>
    <row r="13" spans="1:9" ht="15" customHeight="1" x14ac:dyDescent="0.25">
      <c r="A13" s="1"/>
      <c r="B13" s="105" t="s">
        <v>146</v>
      </c>
      <c r="C13" s="106"/>
      <c r="D13" s="106"/>
      <c r="E13" s="106"/>
      <c r="F13" s="107"/>
      <c r="G13" s="69">
        <v>4.0631474740803246E-2</v>
      </c>
      <c r="H13" s="14" t="s">
        <v>3</v>
      </c>
      <c r="I13" s="1"/>
    </row>
    <row r="14" spans="1:9" x14ac:dyDescent="0.25">
      <c r="A14" s="1"/>
      <c r="B14" s="99" t="s">
        <v>143</v>
      </c>
      <c r="C14" s="100"/>
      <c r="D14" s="100"/>
      <c r="E14" s="100"/>
      <c r="F14" s="101"/>
      <c r="G14" s="69">
        <v>1438677.8450000002</v>
      </c>
      <c r="H14" s="14" t="s">
        <v>3</v>
      </c>
      <c r="I14" s="1"/>
    </row>
    <row r="15" spans="1:9" x14ac:dyDescent="0.25">
      <c r="A15" s="1"/>
      <c r="B15" s="108" t="s">
        <v>48</v>
      </c>
      <c r="C15" s="109"/>
      <c r="D15" s="109"/>
      <c r="E15" s="109"/>
      <c r="F15" s="110"/>
      <c r="G15" s="69">
        <v>0</v>
      </c>
      <c r="H15" s="14" t="s">
        <v>3</v>
      </c>
      <c r="I15" s="1"/>
    </row>
    <row r="16" spans="1:9" x14ac:dyDescent="0.25">
      <c r="A16" s="1"/>
      <c r="B16" s="105" t="s">
        <v>49</v>
      </c>
      <c r="C16" s="106"/>
      <c r="D16" s="106"/>
      <c r="E16" s="106"/>
      <c r="F16" s="107"/>
      <c r="G16" s="69">
        <f>SUM(G12:G15)*'Fane 14. Nøgletal'!C29</f>
        <v>639181.45035662956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58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5" t="s">
        <v>50</v>
      </c>
      <c r="C20" s="106"/>
      <c r="D20" s="106"/>
      <c r="E20" s="106"/>
      <c r="F20" s="107"/>
      <c r="G20" s="69">
        <f>(SUM(G12:G13,G15)-(G16))*(1+'Fane 14. Nøgletal'!C10)</f>
        <v>30404134.453868158</v>
      </c>
      <c r="H20" s="14" t="s">
        <v>3</v>
      </c>
      <c r="I20" s="1"/>
    </row>
    <row r="21" spans="1:9" x14ac:dyDescent="0.25">
      <c r="A21" s="1"/>
      <c r="B21" s="108" t="s">
        <v>51</v>
      </c>
      <c r="C21" s="109"/>
      <c r="D21" s="109"/>
      <c r="E21" s="109"/>
      <c r="F21" s="110"/>
      <c r="G21" s="69">
        <v>0</v>
      </c>
      <c r="H21" s="14" t="s">
        <v>3</v>
      </c>
      <c r="I21" s="1"/>
    </row>
    <row r="22" spans="1:9" x14ac:dyDescent="0.25">
      <c r="A22" s="1"/>
      <c r="B22" s="105" t="s">
        <v>52</v>
      </c>
      <c r="C22" s="106"/>
      <c r="D22" s="106"/>
      <c r="E22" s="106"/>
      <c r="F22" s="107"/>
      <c r="G22" s="69">
        <f>SUM(G20:G21)*'Fane 14. Nøgletal'!C29</f>
        <v>608082.68907736323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59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5" t="s">
        <v>53</v>
      </c>
      <c r="C26" s="106"/>
      <c r="D26" s="106"/>
      <c r="E26" s="106"/>
      <c r="F26" s="107"/>
      <c r="G26" s="69">
        <f>(G20+G21-G22)*(1+'Fane 14. Nøgletal'!C12)</f>
        <v>30383033.984557174</v>
      </c>
      <c r="H26" s="14" t="s">
        <v>3</v>
      </c>
      <c r="I26" s="1"/>
    </row>
    <row r="27" spans="1:9" x14ac:dyDescent="0.25">
      <c r="A27" s="1"/>
      <c r="B27" s="108" t="s">
        <v>54</v>
      </c>
      <c r="C27" s="109"/>
      <c r="D27" s="109"/>
      <c r="E27" s="109"/>
      <c r="F27" s="110"/>
      <c r="G27" s="69">
        <v>111041.04970728001</v>
      </c>
      <c r="H27" s="14" t="s">
        <v>3</v>
      </c>
      <c r="I27" s="1"/>
    </row>
    <row r="28" spans="1:9" x14ac:dyDescent="0.25">
      <c r="A28" s="1"/>
      <c r="B28" s="105" t="s">
        <v>55</v>
      </c>
      <c r="C28" s="106"/>
      <c r="D28" s="106"/>
      <c r="E28" s="106"/>
      <c r="F28" s="107"/>
      <c r="G28" s="69">
        <f>(G26+G27)*'Fane 14. Nøgletal'!C29</f>
        <v>609881.50068528904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62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5" t="s">
        <v>63</v>
      </c>
      <c r="C32" s="106"/>
      <c r="D32" s="106"/>
      <c r="E32" s="106"/>
      <c r="F32" s="107"/>
      <c r="G32" s="69">
        <f>(G26+G27-G28)*(1+'Fane 14. Nøgletal'!C12)</f>
        <v>30472912.146190673</v>
      </c>
      <c r="H32" s="14" t="s">
        <v>3</v>
      </c>
      <c r="I32" s="1"/>
    </row>
    <row r="33" spans="1:9" x14ac:dyDescent="0.25">
      <c r="A33" s="1"/>
      <c r="B33" s="105" t="s">
        <v>171</v>
      </c>
      <c r="C33" s="106"/>
      <c r="D33" s="106"/>
      <c r="E33" s="106"/>
      <c r="F33" s="107"/>
      <c r="G33" s="69">
        <v>4331726.9243942397</v>
      </c>
      <c r="H33" s="14" t="s">
        <v>3</v>
      </c>
      <c r="I33" s="1"/>
    </row>
    <row r="34" spans="1:9" x14ac:dyDescent="0.25">
      <c r="A34" s="1"/>
      <c r="B34" s="105" t="s">
        <v>64</v>
      </c>
      <c r="C34" s="106"/>
      <c r="D34" s="106"/>
      <c r="E34" s="106"/>
      <c r="F34" s="107"/>
      <c r="G34" s="69">
        <f>(G32+G33)*'Fane 14. Nøgletal'!C29</f>
        <v>696092.78141169832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232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5" t="s">
        <v>84</v>
      </c>
      <c r="C38" s="106"/>
      <c r="D38" s="106"/>
      <c r="E38" s="106"/>
      <c r="F38" s="107"/>
      <c r="G38" s="69">
        <f>(G32+G33-G34)*(1+'Fane 14. Nøgletal'!C14)</f>
        <v>34221104.49192749</v>
      </c>
      <c r="H38" s="14" t="s">
        <v>3</v>
      </c>
      <c r="I38" s="1"/>
    </row>
    <row r="39" spans="1:9" x14ac:dyDescent="0.25">
      <c r="A39" s="1"/>
      <c r="B39" s="105" t="s">
        <v>236</v>
      </c>
      <c r="C39" s="106"/>
      <c r="D39" s="106"/>
      <c r="E39" s="106"/>
      <c r="F39" s="107"/>
      <c r="G39" s="69">
        <f>SUM('Fane 2.1. Økonomisk ramme 2022'!C10,'Fane 2.1. Økonomisk ramme 2022'!C12,'Fane 2.1. Økonomisk ramme 2022'!C14)*(1+'Fane 14. Nøgletal'!C14)</f>
        <v>889012.56616486015</v>
      </c>
      <c r="H39" s="14" t="s">
        <v>3</v>
      </c>
      <c r="I39" s="1"/>
    </row>
    <row r="40" spans="1:9" x14ac:dyDescent="0.25">
      <c r="A40" s="1"/>
      <c r="B40" s="105" t="s">
        <v>234</v>
      </c>
      <c r="C40" s="106"/>
      <c r="D40" s="106"/>
      <c r="E40" s="106"/>
      <c r="F40" s="107"/>
      <c r="G40" s="69">
        <f>(G38+G39)*'Fane 14. Nøgletal'!C29</f>
        <v>702202.341161847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233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5" t="s">
        <v>83</v>
      </c>
      <c r="C44" s="106"/>
      <c r="D44" s="106"/>
      <c r="E44" s="106"/>
      <c r="F44" s="107"/>
      <c r="G44" s="69">
        <f>(G38+G39-G40)*(1+'Fane 14. Nøgletal'!C14)</f>
        <v>34521460.835496373</v>
      </c>
      <c r="H44" s="14" t="s">
        <v>3</v>
      </c>
      <c r="I44" s="1"/>
    </row>
    <row r="45" spans="1:9" x14ac:dyDescent="0.25">
      <c r="A45" s="1"/>
      <c r="B45" s="111" t="s">
        <v>237</v>
      </c>
      <c r="C45" s="112"/>
      <c r="D45" s="112"/>
      <c r="E45" s="112"/>
      <c r="F45" s="113"/>
      <c r="G45" s="69">
        <f>G39*(1+'Fane 14. Nøgletal'!C14)</f>
        <v>891946.30763320427</v>
      </c>
      <c r="H45" s="14" t="s">
        <v>3</v>
      </c>
      <c r="I45" s="1"/>
    </row>
    <row r="46" spans="1:9" x14ac:dyDescent="0.25">
      <c r="A46" s="1"/>
      <c r="B46" s="105" t="s">
        <v>97</v>
      </c>
      <c r="C46" s="106"/>
      <c r="D46" s="106"/>
      <c r="E46" s="106"/>
      <c r="F46" s="107"/>
      <c r="G46" s="6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5" t="s">
        <v>235</v>
      </c>
      <c r="C47" s="106"/>
      <c r="D47" s="106"/>
      <c r="E47" s="106"/>
      <c r="F47" s="107"/>
      <c r="G47" s="69">
        <f>(G44+G46)*'Fane 14. Nøgletal'!C29</f>
        <v>690429.21670992754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172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33942674.023128442</v>
      </c>
      <c r="H53" s="14" t="s">
        <v>3</v>
      </c>
      <c r="I53" s="1"/>
    </row>
    <row r="54" spans="1:9" x14ac:dyDescent="0.25">
      <c r="A54" s="1"/>
      <c r="B54" s="105" t="s">
        <v>174</v>
      </c>
      <c r="C54" s="106"/>
      <c r="D54" s="106"/>
      <c r="E54" s="106"/>
      <c r="F54" s="107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678853.48046256881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33373591.150456674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667471.82300913346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yyf2w5C4uEwPFSZBquyp4C1sVkjWHLW/82Upp/YaaYrO583+Hp70dQxW4CDZGH6d6GoIuYGX9W+Dt74/1JeVqw==" saltValue="HSU0uNRr+iMo+zAGnjVAS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28.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ht="15" customHeight="1" x14ac:dyDescent="0.35">
      <c r="A4" s="1"/>
      <c r="B4" s="49"/>
      <c r="C4" s="49"/>
      <c r="D4" s="49"/>
      <c r="E4" s="49"/>
      <c r="F4" s="49"/>
      <c r="G4" s="49"/>
      <c r="H4" s="49"/>
      <c r="I4" s="1"/>
    </row>
    <row r="5" spans="1:9" x14ac:dyDescent="0.25">
      <c r="A5" s="1"/>
      <c r="B5" s="96" t="s">
        <v>60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5" t="s">
        <v>65</v>
      </c>
      <c r="C6" s="106"/>
      <c r="D6" s="106"/>
      <c r="E6" s="106"/>
      <c r="F6" s="107"/>
      <c r="G6" s="69">
        <v>73577690</v>
      </c>
      <c r="H6" s="14" t="s">
        <v>3</v>
      </c>
      <c r="I6" s="1"/>
    </row>
    <row r="7" spans="1:9" x14ac:dyDescent="0.25">
      <c r="A7" s="1"/>
      <c r="B7" s="105" t="s">
        <v>61</v>
      </c>
      <c r="C7" s="106"/>
      <c r="D7" s="106"/>
      <c r="E7" s="106"/>
      <c r="F7" s="107"/>
      <c r="G7" s="69">
        <f>G6*'Fane 14. Nøgletal'!C19</f>
        <v>669556.97900000005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66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105" t="s">
        <v>67</v>
      </c>
      <c r="C11" s="106"/>
      <c r="D11" s="106"/>
      <c r="E11" s="106"/>
      <c r="F11" s="107"/>
      <c r="G11" s="69">
        <f>(G6-G7)*(1+'Fane 14. Nøgletal'!C10)</f>
        <v>74184025.348867506</v>
      </c>
      <c r="H11" s="14" t="s">
        <v>3</v>
      </c>
      <c r="I11" s="1"/>
    </row>
    <row r="12" spans="1:9" x14ac:dyDescent="0.25">
      <c r="A12" s="1"/>
      <c r="B12" s="105" t="s">
        <v>147</v>
      </c>
      <c r="C12" s="106"/>
      <c r="D12" s="106"/>
      <c r="E12" s="106"/>
      <c r="F12" s="107"/>
      <c r="G12" s="69">
        <v>-508258.30349128845</v>
      </c>
      <c r="H12" s="14" t="s">
        <v>3</v>
      </c>
      <c r="I12" s="1"/>
    </row>
    <row r="13" spans="1:9" x14ac:dyDescent="0.25">
      <c r="A13" s="1"/>
      <c r="B13" s="108" t="s">
        <v>68</v>
      </c>
      <c r="C13" s="109"/>
      <c r="D13" s="109"/>
      <c r="E13" s="109"/>
      <c r="F13" s="110"/>
      <c r="G13" s="69">
        <v>0</v>
      </c>
      <c r="H13" s="14" t="s">
        <v>3</v>
      </c>
      <c r="I13" s="1"/>
    </row>
    <row r="14" spans="1:9" x14ac:dyDescent="0.25">
      <c r="A14" s="1"/>
      <c r="B14" s="105" t="s">
        <v>69</v>
      </c>
      <c r="C14" s="106"/>
      <c r="D14" s="106"/>
      <c r="E14" s="106"/>
      <c r="F14" s="107"/>
      <c r="G14" s="69">
        <f>SUM(G11:G13)*'Fane 14. Nøgletal'!C20</f>
        <v>1304061.0767031589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70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105" t="s">
        <v>71</v>
      </c>
      <c r="C18" s="106"/>
      <c r="D18" s="106"/>
      <c r="E18" s="106"/>
      <c r="F18" s="107"/>
      <c r="G18" s="69">
        <f>(SUM(G11:G13)-G14)*(1+'Fane 14. Nøgletal'!C10)</f>
        <v>73638210.823124841</v>
      </c>
      <c r="H18" s="14" t="s">
        <v>3</v>
      </c>
      <c r="I18" s="1"/>
    </row>
    <row r="19" spans="1:9" x14ac:dyDescent="0.25">
      <c r="A19" s="1"/>
      <c r="B19" s="108" t="s">
        <v>72</v>
      </c>
      <c r="C19" s="109"/>
      <c r="D19" s="109"/>
      <c r="E19" s="109"/>
      <c r="F19" s="110"/>
      <c r="G19" s="69">
        <v>2874403.3044357696</v>
      </c>
      <c r="H19" s="14" t="s">
        <v>3</v>
      </c>
      <c r="I19" s="1"/>
    </row>
    <row r="20" spans="1:9" x14ac:dyDescent="0.25">
      <c r="A20" s="1"/>
      <c r="B20" s="105" t="s">
        <v>73</v>
      </c>
      <c r="C20" s="106"/>
      <c r="D20" s="106"/>
      <c r="E20" s="106"/>
      <c r="F20" s="107"/>
      <c r="G20" s="69">
        <f>G18*'Fane 14. Nøgletal'!C20+G19*'Fane 14. Nøgletal'!C21</f>
        <v>1328403.640317901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74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105" t="s">
        <v>75</v>
      </c>
      <c r="C24" s="106"/>
      <c r="D24" s="106"/>
      <c r="E24" s="106"/>
      <c r="F24" s="107"/>
      <c r="G24" s="69">
        <f>(G18+G19-G20)*(1+'Fane 14. Nøgletal'!C12)</f>
        <v>76665339.433841392</v>
      </c>
      <c r="H24" s="14" t="s">
        <v>3</v>
      </c>
      <c r="I24" s="1"/>
    </row>
    <row r="25" spans="1:9" x14ac:dyDescent="0.25">
      <c r="A25" s="1"/>
      <c r="B25" s="108" t="s">
        <v>76</v>
      </c>
      <c r="C25" s="109"/>
      <c r="D25" s="109"/>
      <c r="E25" s="109"/>
      <c r="F25" s="110"/>
      <c r="G25" s="69">
        <v>1193092.3386857377</v>
      </c>
      <c r="H25" s="14" t="s">
        <v>3</v>
      </c>
      <c r="I25" s="1"/>
    </row>
    <row r="26" spans="1:9" x14ac:dyDescent="0.25">
      <c r="A26" s="1"/>
      <c r="B26" s="105" t="s">
        <v>77</v>
      </c>
      <c r="C26" s="106"/>
      <c r="D26" s="106"/>
      <c r="E26" s="106"/>
      <c r="F26" s="107"/>
      <c r="G26" s="69">
        <f>(G24+G25)*'Fane 14. Nøgletal'!C22</f>
        <v>2211179.4623397705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6" t="s">
        <v>78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5" t="s">
        <v>79</v>
      </c>
      <c r="C30" s="106"/>
      <c r="D30" s="106"/>
      <c r="E30" s="106"/>
      <c r="F30" s="107"/>
      <c r="G30" s="69">
        <f>(G24+G25-G26)*(1+'Fane 14. Nøgletal'!C12)</f>
        <v>77137503.180698052</v>
      </c>
      <c r="H30" s="14" t="s">
        <v>3</v>
      </c>
      <c r="I30" s="1"/>
    </row>
    <row r="31" spans="1:9" x14ac:dyDescent="0.25">
      <c r="A31" s="1"/>
      <c r="B31" s="105" t="s">
        <v>176</v>
      </c>
      <c r="C31" s="106"/>
      <c r="D31" s="106"/>
      <c r="E31" s="106"/>
      <c r="F31" s="107"/>
      <c r="G31" s="69">
        <v>4343488.7450774396</v>
      </c>
      <c r="H31" s="14" t="s">
        <v>3</v>
      </c>
      <c r="I31" s="1"/>
    </row>
    <row r="32" spans="1:9" x14ac:dyDescent="0.25">
      <c r="A32" s="1"/>
      <c r="B32" s="105" t="s">
        <v>80</v>
      </c>
      <c r="C32" s="106"/>
      <c r="D32" s="106"/>
      <c r="E32" s="106"/>
      <c r="F32" s="107"/>
      <c r="G32" s="69">
        <f>G30*'Fane 14. Nøgletal'!C22+G31*'Fane 14. Nøgletal'!C23</f>
        <v>2310151.0308214547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6" t="s">
        <v>238</v>
      </c>
      <c r="C35" s="97"/>
      <c r="D35" s="97"/>
      <c r="E35" s="97"/>
      <c r="F35" s="97"/>
      <c r="G35" s="97"/>
      <c r="H35" s="98"/>
      <c r="I35" s="1"/>
    </row>
    <row r="36" spans="1:9" x14ac:dyDescent="0.25">
      <c r="A36" s="1"/>
      <c r="B36" s="105" t="s">
        <v>82</v>
      </c>
      <c r="C36" s="106"/>
      <c r="D36" s="106"/>
      <c r="E36" s="106"/>
      <c r="F36" s="107"/>
      <c r="G36" s="69">
        <f>(G30+G31-G32)*(1+'Fane 14. Nøgletal'!C14)</f>
        <v>79432104.669907391</v>
      </c>
      <c r="H36" s="14" t="s">
        <v>3</v>
      </c>
      <c r="I36" s="1"/>
    </row>
    <row r="37" spans="1:9" x14ac:dyDescent="0.25">
      <c r="A37" s="1"/>
      <c r="B37" s="105" t="s">
        <v>240</v>
      </c>
      <c r="C37" s="106"/>
      <c r="D37" s="106"/>
      <c r="E37" s="106"/>
      <c r="F37" s="107"/>
      <c r="G37" s="69">
        <f>SUM('Fane 2.1. Økonomisk ramme 2022'!C11,'Fane 2.1. Økonomisk ramme 2022'!C13,'Fane 2.1. Økonomisk ramme 2022'!C15)*(1+'Fane 14. Nøgletal'!C14)</f>
        <v>152434.10690537002</v>
      </c>
      <c r="H37" s="14" t="s">
        <v>3</v>
      </c>
      <c r="I37" s="1"/>
    </row>
    <row r="38" spans="1:9" x14ac:dyDescent="0.25">
      <c r="A38" s="1"/>
      <c r="B38" s="105" t="s">
        <v>239</v>
      </c>
      <c r="C38" s="106"/>
      <c r="D38" s="106"/>
      <c r="E38" s="106"/>
      <c r="F38" s="107"/>
      <c r="G38" s="69">
        <f>(G36+G37)*'Fane 14. Nøgletal'!C24</f>
        <v>1177851.1738968289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6" t="s">
        <v>85</v>
      </c>
      <c r="C41" s="97"/>
      <c r="D41" s="97"/>
      <c r="E41" s="97"/>
      <c r="F41" s="97"/>
      <c r="G41" s="97"/>
      <c r="H41" s="98"/>
      <c r="I41" s="1"/>
    </row>
    <row r="42" spans="1:9" x14ac:dyDescent="0.25">
      <c r="A42" s="1"/>
      <c r="B42" s="105" t="s">
        <v>81</v>
      </c>
      <c r="C42" s="106"/>
      <c r="D42" s="106"/>
      <c r="E42" s="106"/>
      <c r="F42" s="107"/>
      <c r="G42" s="69">
        <f>(G36+G37-G38)*(1+'Fane 14. Nøgletal'!C14)</f>
        <v>78665429.672005564</v>
      </c>
      <c r="H42" s="14" t="s">
        <v>3</v>
      </c>
      <c r="I42" s="1"/>
    </row>
    <row r="43" spans="1:9" x14ac:dyDescent="0.25">
      <c r="A43" s="1"/>
      <c r="B43" s="47" t="s">
        <v>242</v>
      </c>
      <c r="C43" s="63"/>
      <c r="D43" s="63"/>
      <c r="E43" s="63"/>
      <c r="F43" s="64"/>
      <c r="G43" s="69">
        <f>G37*(1+'Fane 14. Nøgletal'!C14)</f>
        <v>152937.13945815776</v>
      </c>
      <c r="H43" s="14" t="s">
        <v>3</v>
      </c>
      <c r="I43" s="1"/>
    </row>
    <row r="44" spans="1:9" x14ac:dyDescent="0.25">
      <c r="A44" s="1"/>
      <c r="B44" s="105" t="s">
        <v>101</v>
      </c>
      <c r="C44" s="106"/>
      <c r="D44" s="106"/>
      <c r="E44" s="106"/>
      <c r="F44" s="107"/>
      <c r="G44" s="69">
        <f>-'Fane 13. Bortfald'!E18*(1+'Fane 14. Nøgletal'!C14)</f>
        <v>0</v>
      </c>
      <c r="H44" s="14" t="s">
        <v>3</v>
      </c>
      <c r="I44" s="1"/>
    </row>
    <row r="45" spans="1:9" x14ac:dyDescent="0.25">
      <c r="A45" s="1"/>
      <c r="B45" s="105" t="s">
        <v>241</v>
      </c>
      <c r="C45" s="106"/>
      <c r="D45" s="106"/>
      <c r="E45" s="106"/>
      <c r="F45" s="107"/>
      <c r="G45" s="69">
        <f>(G42+G44)*'Fane 14. Nøgletal'!C24</f>
        <v>1164248.3591456823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96" t="s">
        <v>181</v>
      </c>
      <c r="C53" s="97"/>
      <c r="D53" s="97"/>
      <c r="E53" s="97"/>
      <c r="F53" s="97"/>
      <c r="G53" s="97"/>
      <c r="H53" s="98"/>
      <c r="I53" s="1"/>
    </row>
    <row r="54" spans="1:9" x14ac:dyDescent="0.25">
      <c r="A54" s="1"/>
      <c r="B54" s="105" t="s">
        <v>182</v>
      </c>
      <c r="C54" s="106"/>
      <c r="D54" s="106"/>
      <c r="E54" s="106"/>
      <c r="F54" s="107"/>
      <c r="G54" s="24">
        <f>(G42+G44-G45)*(1+'Fane 14. Nøgletal'!C14)</f>
        <v>77756935.211192325</v>
      </c>
      <c r="H54" s="14" t="s">
        <v>3</v>
      </c>
      <c r="I54" s="1"/>
    </row>
    <row r="55" spans="1:9" x14ac:dyDescent="0.25">
      <c r="A55" s="1"/>
      <c r="B55" s="105" t="s">
        <v>183</v>
      </c>
      <c r="C55" s="106"/>
      <c r="D55" s="106"/>
      <c r="E55" s="106"/>
      <c r="F55" s="107"/>
      <c r="G55" s="24">
        <f>-'Fane 13. Bortfald'!E24*(1+'Fane 14. Nøgletal'!C13)</f>
        <v>0</v>
      </c>
      <c r="H55" s="14" t="s">
        <v>3</v>
      </c>
      <c r="I55" s="1"/>
    </row>
    <row r="56" spans="1:9" x14ac:dyDescent="0.25">
      <c r="A56" s="1"/>
      <c r="B56" s="105" t="s">
        <v>184</v>
      </c>
      <c r="C56" s="106"/>
      <c r="D56" s="106"/>
      <c r="E56" s="106"/>
      <c r="F56" s="107"/>
      <c r="G56" s="24">
        <f>(G54+G55)*'Fane 14. Nøgletal'!C24</f>
        <v>1150802.6411256464</v>
      </c>
      <c r="H56" s="14" t="s">
        <v>3</v>
      </c>
      <c r="I56" s="1"/>
    </row>
    <row r="57" spans="1:9" x14ac:dyDescent="0.25">
      <c r="A57" s="1"/>
      <c r="B57" s="38"/>
      <c r="C57" s="32"/>
      <c r="D57" s="32"/>
      <c r="E57" s="32"/>
      <c r="F57" s="32"/>
      <c r="G57" s="32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96" t="s">
        <v>205</v>
      </c>
      <c r="C59" s="97"/>
      <c r="D59" s="97"/>
      <c r="E59" s="97"/>
      <c r="F59" s="97"/>
      <c r="G59" s="97"/>
      <c r="H59" s="98"/>
      <c r="I59" s="1"/>
    </row>
    <row r="60" spans="1:9" x14ac:dyDescent="0.25">
      <c r="A60" s="1"/>
      <c r="B60" s="105" t="s">
        <v>255</v>
      </c>
      <c r="C60" s="106"/>
      <c r="D60" s="106"/>
      <c r="E60" s="106"/>
      <c r="F60" s="107"/>
      <c r="G60" s="24">
        <f>(G54+G55-G56)*(1+'Fane 14. Nøgletal'!C14)</f>
        <v>76858932.807547897</v>
      </c>
      <c r="H60" s="14" t="s">
        <v>3</v>
      </c>
      <c r="I60" s="1"/>
    </row>
    <row r="61" spans="1:9" x14ac:dyDescent="0.25">
      <c r="A61" s="1"/>
      <c r="B61" s="105" t="s">
        <v>256</v>
      </c>
      <c r="C61" s="106"/>
      <c r="D61" s="106"/>
      <c r="E61" s="106"/>
      <c r="F61" s="107"/>
      <c r="G61" s="24">
        <f>-'Fane 13. Bortfald'!E30*(1+'Fane 14. Nøgletal'!C14)</f>
        <v>0</v>
      </c>
      <c r="H61" s="14" t="s">
        <v>3</v>
      </c>
      <c r="I61" s="1"/>
    </row>
    <row r="62" spans="1:9" x14ac:dyDescent="0.25">
      <c r="A62" s="1"/>
      <c r="B62" s="105" t="s">
        <v>257</v>
      </c>
      <c r="C62" s="106"/>
      <c r="D62" s="106"/>
      <c r="E62" s="106"/>
      <c r="F62" s="107"/>
      <c r="G62" s="24">
        <f>(G60+G61)*'Fane 14. Nøgletal'!C24</f>
        <v>1137512.2055517088</v>
      </c>
      <c r="H62" s="14" t="s">
        <v>3</v>
      </c>
      <c r="I62" s="1"/>
    </row>
    <row r="63" spans="1:9" x14ac:dyDescent="0.25">
      <c r="A63" s="1"/>
      <c r="B63" s="38"/>
      <c r="C63" s="32"/>
      <c r="D63" s="32"/>
      <c r="E63" s="32"/>
      <c r="F63" s="32"/>
      <c r="G63" s="32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Xp+pIlpyiY4XOJXqcnA04+sScceErXr6E14PNqPiKOmfWLiLc/05/vrv1TB076VOSGd4wVTYwgWQQk13SiKDZg==" saltValue="qOua66Kt79xwcB2KII929g==" spinCount="100000" sheet="1" objects="1" scenarios="1"/>
  <mergeCells count="37">
    <mergeCell ref="B59:H59"/>
    <mergeCell ref="B60:F60"/>
    <mergeCell ref="B61:F61"/>
    <mergeCell ref="B62:F62"/>
    <mergeCell ref="B44:F44"/>
    <mergeCell ref="B42:F42"/>
    <mergeCell ref="B29:H29"/>
    <mergeCell ref="B30:F30"/>
    <mergeCell ref="B32:F32"/>
    <mergeCell ref="B35:H35"/>
    <mergeCell ref="B37:F37"/>
    <mergeCell ref="B38:F38"/>
    <mergeCell ref="B41:H41"/>
    <mergeCell ref="B18:F18"/>
    <mergeCell ref="B19:F19"/>
    <mergeCell ref="B31:F31"/>
    <mergeCell ref="B23:H23"/>
    <mergeCell ref="B12:F12"/>
    <mergeCell ref="B24:F24"/>
    <mergeCell ref="B25:F25"/>
    <mergeCell ref="B26:F26"/>
    <mergeCell ref="B1:H3"/>
    <mergeCell ref="B53:H53"/>
    <mergeCell ref="B54:F54"/>
    <mergeCell ref="B55:F55"/>
    <mergeCell ref="B56:F56"/>
    <mergeCell ref="B36:F36"/>
    <mergeCell ref="B45:F45"/>
    <mergeCell ref="B20:F20"/>
    <mergeCell ref="B5:H5"/>
    <mergeCell ref="B6:F6"/>
    <mergeCell ref="B7:F7"/>
    <mergeCell ref="B10:H10"/>
    <mergeCell ref="B11:F11"/>
    <mergeCell ref="B13:F13"/>
    <mergeCell ref="B14:F14"/>
    <mergeCell ref="B17:H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8.5251039840219187E-3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0.02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7.7088168556626062E-3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1.0623042348833824E-2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wKpSZoVjNTK02uxRt8MpUrm53U1tXpNv9RF7GR6ZtEdpVejxtmgM6MM7Mf8kN8O+KsqvZJ0v+EEKo43NFdX4w==" saltValue="ohRbyC8qy5ilzyXoSgW1C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2021-10-14T14:21:56Z</dcterms:modified>
</cp:coreProperties>
</file>