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Hedensted Spildevand (S036)\ØR2024\"/>
    </mc:Choice>
  </mc:AlternateContent>
  <xr:revisionPtr revIDLastSave="0" documentId="13_ncr:1_{FB100AEF-B037-4908-BFF9-15DBC557A4ED}"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C39" i="2" l="1"/>
  <c r="E25" i="44" l="1"/>
  <c r="E16" i="44" l="1"/>
  <c r="E18" i="44" s="1"/>
  <c r="E17" i="44"/>
  <c r="E29" i="44" l="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1" i="1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<sst xmlns="http://schemas.openxmlformats.org/spreadsheetml/2006/main" count="658" uniqueCount="293">
  <si>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</si>
  <si>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</si>
  <si>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</si>
  <si>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</si>
  <si>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</si>
  <si>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</si>
  <si>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</si>
  <si>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</si>
  <si>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</si>
  <si>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</si>
  <si>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</si>
  <si>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</si>
  <si>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</si>
  <si>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</si>
  <si>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</si>
  <si>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</si>
  <si>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</si>
  <si>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</si>
  <si>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</si>
  <si>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</si>
  <si>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</si>
  <si>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</si>
  <si>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</si>
  <si>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</si>
  <si>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</si>
  <si>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</si>
  <si>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</si>
  <si>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</si>
  <si>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</si>
  <si>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</si>
  <si>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</si>
  <si>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</si>
  <si>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</si>
  <si>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</si>
  <si>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</si>
  <si>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</si>
  <si>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</si>
  <si>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</si>
  <si>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</si>
  <si>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</si>
  <si>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</si>
  <si>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</si>
  <si>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</si>
  <si>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</si>
  <si>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</si>
  <si>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</si>
  <si>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</si>
  <si>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</si>
  <si>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</si>
  <si>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</si>
  <si>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</si>
  <si>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</si>
  <si>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</si>
  <si>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</si>
  <si>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</si>
  <si>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</si>
  <si>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</si>
  <si>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</si>
  <si>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</si>
  <si>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</si>
  <si>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</si>
  <si>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</si>
  <si>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</si>
  <si>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</si>
  <si>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</si>
  <si>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</si>
  <si>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</si>
  <si>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</si>
  <si>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</si>
  <si>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</si>
  <si>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</si>
  <si>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</si>
  <si>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</si>
  <si>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</si>
  <si>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</si>
  <si>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</si>
  <si>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</si>
  <si>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</si>
  <si>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</si>
  <si>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</si>
  <si>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</si>
  <si>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</si>
  <si>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</si>
  <si>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</si>
  <si>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</si>
  <si>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</si>
  <si>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</si>
  <si>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</si>
  <si>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</si>
  <si>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</si>
  <si>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</si>
  <si>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</si>
  <si>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</si>
  <si>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</si>
  <si>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</si>
  <si>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</si>
  <si>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</si>
  <si>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</si>
  <si>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</si>
  <si>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</si>
  <si>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</si>
  <si>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</si>
  <si>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</si>
  <si>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</si>
  <si>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</si>
  <si>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</si>
  <si>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</si>
  <si>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</si>
  <si>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</si>
  <si>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</si>
  <si>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</si>
  <si>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</si>
  <si>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</si>
  <si>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</si>
  <si>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</si>
  <si>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</si>
  <si>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</si>
  <si>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</si>
  <si>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</si>
  <si>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</si>
  <si>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</si>
  <si>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</si>
  <si>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</si>
  <si>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</si>
  <si>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</si>
  <si>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</si>
  <si>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</si>
  <si>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</si>
  <si>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</si>
  <si>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</si>
  <si>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</si>
  <si>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</si>
  <si>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</si>
  <si>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</si>
  <si>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</si>
  <si>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</si>
  <si>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</si>
  <si>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</si>
  <si>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</si>
  <si>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</si>
  <si>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</si>
  <si>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</si>
  <si>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</si>
  <si>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</si>
  <si>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</si>
  <si>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</si>
  <si>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</si>
  <si>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</si>
  <si>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</si>
  <si>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</si>
  <si>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</si>
  <si>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</si>
  <si>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</si>
  <si>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</si>
  <si>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</si>
  <si>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</si>
  <si>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</si>
  <si>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</si>
  <si>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</si>
  <si>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</si>
  <si>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</si>
  <si>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</si>
  <si>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</si>
  <si>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</si>
  <si>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</si>
  <si>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</si>
  <si>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</si>
  <si>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</si>
  <si>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</si>
  <si>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</si>
  <si>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</si>
  <si>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</si>
  <si>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</si>
  <si>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</si>
  <si>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</si>
  <si>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</si>
  <si>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</si>
  <si>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</si>
  <si>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</si>
  <si>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</si>
  <si>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</si>
  <si>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</si>
  <si>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</si>
  <si>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</si>
  <si>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</si>
  <si>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</si>
  <si>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</si>
  <si>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</si>
  <si>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</si>
  <si>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</si>
  <si>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</si>
  <si>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</si>
  <si>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</si>
  <si>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</si>
  <si>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</si>
  <si>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</si>
  <si>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</si>
  <si>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</si>
  <si>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</si>
  <si>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</si>
  <si>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</si>
  <si>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</si>
  <si>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</si>
  <si>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</si>
  <si>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</si>
  <si>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</si>
  <si>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</si>
  <si>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</si>
  <si>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</si>
  <si>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</si>
  <si>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</si>
  <si>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</si>
  <si>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</si>
  <si>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</si>
  <si>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</si>
  <si>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</si>
  <si>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</si>
  <si>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</si>
  <si>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</si>
  <si>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</si>
  <si>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</si>
  <si>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</si>
  <si>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</si>
  <si>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</si>
  <si>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</si>
  <si>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</si>
  <si>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</si>
  <si>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</si>
  <si>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</si>
  <si>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</si>
  <si>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</si>
  <si>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</si>
  <si>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</si>
  <si>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</si>
  <si>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</si>
  <si>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</si>
  <si>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</si>
  <si>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</si>
  <si>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</si>
  <si>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</si>
  <si>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</si>
  <si>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</si>
  <si>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</si>
  <si>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</si>
  <si>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</si>
  <si>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</si>
  <si>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</si>
  <si>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</si>
  <si>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</si>
  <si>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</si>
  <si>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</si>
  <si>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</si>
  <si>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</si>
  <si>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</si>
  <si>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</si>
  <si>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</si>
  <si>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</si>
  <si>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</si>
  <si>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</si>
  <si>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</si>
  <si>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</si>
  <si>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</si>
  <si>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</si>
  <si>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</si>
  <si>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</si>
  <si>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</si>
  <si>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</si>
  <si>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</si>
  <si>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</si>
  <si>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</si>
  <si>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</si>
  <si>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</si>
  <si>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</si>
  <si>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</si>
  <si>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</si>
  <si>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</si>
  <si>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Separatkloakering</t>
  </si>
  <si>
    <t>Strømpeforinger</t>
  </si>
  <si>
    <t>Samlede udvigelser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</si>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</sst>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4" tint="0.39997558519241921"/>
      </top>
      <bottom style="thin">
        <color theme="4" tint="0.39997558519241921"/>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167" fontId="8" fillId="8" borderId="2" xfId="1" quotePrefix="1" applyNumberFormat="1" applyFont="1" applyFill="1" applyBorder="1" applyAlignment="1" applyProtection="1">
      <alignment horizontal="righ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0" borderId="13" xfId="0" applyFont="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101" t="s">
        <v>252</v>
      </c>
      <c r="E8" s="101"/>
      <c r="F8" s="101"/>
      <c r="G8" s="10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5"/>
      <c r="I12" s="1"/>
    </row>
    <row r="13" spans="1:9" x14ac:dyDescent="0.25">
      <c r="A13" s="1"/>
      <c r="B13" s="1"/>
      <c r="C13" s="6" t="s">
        <v>6</v>
      </c>
      <c r="D13" s="105" t="s">
        <v>196</v>
      </c>
      <c r="E13" s="106"/>
      <c r="F13" s="106"/>
      <c r="G13" s="107"/>
      <c r="H13" s="5"/>
      <c r="I13" s="1"/>
    </row>
    <row r="14" spans="1:9" x14ac:dyDescent="0.25">
      <c r="A14" s="1"/>
      <c r="B14" s="1"/>
      <c r="C14" s="6" t="s">
        <v>16</v>
      </c>
      <c r="D14" s="90" t="s">
        <v>197</v>
      </c>
      <c r="E14" s="91"/>
      <c r="F14" s="91"/>
      <c r="G14" s="92"/>
      <c r="H14" s="5"/>
      <c r="I14" s="1"/>
    </row>
    <row r="15" spans="1:9" x14ac:dyDescent="0.25">
      <c r="A15" s="1"/>
      <c r="B15" s="1"/>
      <c r="C15" s="6" t="s">
        <v>31</v>
      </c>
      <c r="D15" s="90" t="s">
        <v>262</v>
      </c>
      <c r="E15" s="91"/>
      <c r="F15" s="91"/>
      <c r="G15" s="92"/>
      <c r="H15" s="5"/>
      <c r="I15" s="1"/>
    </row>
    <row r="16" spans="1:9" x14ac:dyDescent="0.25">
      <c r="A16" s="1"/>
      <c r="B16" s="1"/>
      <c r="C16" s="6" t="s">
        <v>32</v>
      </c>
      <c r="D16" s="90" t="s">
        <v>263</v>
      </c>
      <c r="E16" s="91"/>
      <c r="F16" s="91"/>
      <c r="G16" s="92"/>
      <c r="H16" s="5"/>
      <c r="I16" s="1"/>
    </row>
    <row r="17" spans="1:9" x14ac:dyDescent="0.25">
      <c r="A17" s="1"/>
      <c r="B17" s="1"/>
      <c r="C17" s="6" t="s">
        <v>101</v>
      </c>
      <c r="D17" s="90" t="s">
        <v>198</v>
      </c>
      <c r="E17" s="91"/>
      <c r="F17" s="91"/>
      <c r="G17" s="92"/>
      <c r="H17" s="5"/>
      <c r="I17" s="1"/>
    </row>
    <row r="18" spans="1:9" x14ac:dyDescent="0.25">
      <c r="A18" s="1"/>
      <c r="B18" s="1"/>
      <c r="C18" s="6" t="s">
        <v>88</v>
      </c>
      <c r="D18" s="102" t="s">
        <v>79</v>
      </c>
      <c r="E18" s="103"/>
      <c r="F18" s="103"/>
      <c r="G18" s="104"/>
      <c r="H18" s="5"/>
      <c r="I18" s="1"/>
    </row>
    <row r="19" spans="1:9" x14ac:dyDescent="0.25">
      <c r="A19" s="1"/>
      <c r="B19" s="1"/>
      <c r="C19" s="6" t="s">
        <v>89</v>
      </c>
      <c r="D19" s="102" t="s">
        <v>80</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90</v>
      </c>
      <c r="D21" s="94" t="s">
        <v>12</v>
      </c>
      <c r="E21" s="95"/>
      <c r="F21" s="95"/>
      <c r="G21" s="96"/>
      <c r="H21" s="5"/>
      <c r="I21" s="1"/>
    </row>
    <row r="22" spans="1:9" x14ac:dyDescent="0.25">
      <c r="A22" s="1"/>
      <c r="B22" s="1"/>
      <c r="C22" s="6" t="s">
        <v>71</v>
      </c>
      <c r="D22" s="97" t="s">
        <v>199</v>
      </c>
      <c r="E22" s="98"/>
      <c r="F22" s="98"/>
      <c r="G22" s="99"/>
      <c r="H22" s="5"/>
      <c r="I22" s="1"/>
    </row>
    <row r="23" spans="1:9" x14ac:dyDescent="0.25">
      <c r="A23" s="1"/>
      <c r="B23" s="1"/>
      <c r="C23" s="6" t="s">
        <v>8</v>
      </c>
      <c r="D23" s="97" t="s">
        <v>181</v>
      </c>
      <c r="E23" s="98"/>
      <c r="F23" s="98"/>
      <c r="G23" s="99"/>
      <c r="H23" s="5"/>
      <c r="I23" s="1"/>
    </row>
    <row r="24" spans="1:9" x14ac:dyDescent="0.25">
      <c r="A24" s="1"/>
      <c r="B24" s="1"/>
      <c r="C24" s="6" t="s">
        <v>9</v>
      </c>
      <c r="D24" s="97" t="s">
        <v>200</v>
      </c>
      <c r="E24" s="98"/>
      <c r="F24" s="98"/>
      <c r="G24" s="99"/>
      <c r="H24" s="5"/>
      <c r="I24" s="1"/>
    </row>
    <row r="25" spans="1:9" x14ac:dyDescent="0.25">
      <c r="A25" s="1"/>
      <c r="B25" s="1"/>
      <c r="C25" s="6" t="s">
        <v>166</v>
      </c>
      <c r="D25" s="97" t="s">
        <v>160</v>
      </c>
      <c r="E25" s="98"/>
      <c r="F25" s="98"/>
      <c r="G25" s="99"/>
      <c r="H25" s="1"/>
      <c r="I25" s="1"/>
    </row>
    <row r="26" spans="1:9" x14ac:dyDescent="0.25">
      <c r="A26" s="1"/>
      <c r="B26" s="1"/>
      <c r="C26" s="6" t="s">
        <v>167</v>
      </c>
      <c r="D26" s="97" t="s">
        <v>72</v>
      </c>
      <c r="E26" s="98"/>
      <c r="F26" s="98"/>
      <c r="G26" s="99"/>
      <c r="H26" s="1"/>
      <c r="I26" s="1"/>
    </row>
    <row r="27" spans="1:9" x14ac:dyDescent="0.25">
      <c r="A27" s="1"/>
      <c r="B27" s="1"/>
      <c r="C27" s="6" t="s">
        <v>168</v>
      </c>
      <c r="D27" s="97" t="s">
        <v>73</v>
      </c>
      <c r="E27" s="98"/>
      <c r="F27" s="98"/>
      <c r="G27" s="99"/>
      <c r="H27" s="1"/>
      <c r="I27" s="1"/>
    </row>
    <row r="28" spans="1:9" x14ac:dyDescent="0.25">
      <c r="A28" s="1"/>
      <c r="B28" s="1"/>
      <c r="C28" s="6" t="s">
        <v>15</v>
      </c>
      <c r="D28" s="97" t="s">
        <v>74</v>
      </c>
      <c r="E28" s="98"/>
      <c r="F28" s="98"/>
      <c r="G28" s="99"/>
      <c r="H28" s="1"/>
      <c r="I28" s="1"/>
    </row>
    <row r="29" spans="1:9" x14ac:dyDescent="0.25">
      <c r="A29" s="1"/>
      <c r="B29" s="1"/>
      <c r="C29" s="6" t="s">
        <v>34</v>
      </c>
      <c r="D29" s="97" t="s">
        <v>114</v>
      </c>
      <c r="E29" s="98"/>
      <c r="F29" s="98"/>
      <c r="G29" s="99"/>
      <c r="H29" s="1"/>
      <c r="I29" s="1"/>
    </row>
    <row r="30" spans="1:9" x14ac:dyDescent="0.25">
      <c r="A30" s="1"/>
      <c r="B30" s="1"/>
      <c r="C30" s="6" t="s">
        <v>35</v>
      </c>
      <c r="D30" s="97" t="s">
        <v>33</v>
      </c>
      <c r="E30" s="98"/>
      <c r="F30" s="98"/>
      <c r="G30" s="99"/>
      <c r="H30" s="1"/>
      <c r="I30" s="1"/>
    </row>
    <row r="31" spans="1:9" x14ac:dyDescent="0.25">
      <c r="A31" s="1"/>
      <c r="B31" s="1"/>
      <c r="C31" s="6" t="s">
        <v>169</v>
      </c>
      <c r="D31" s="108" t="s">
        <v>87</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3IGUryJbvwGNdFppDW3cIjRNz5UcZun3bbjVcbBgLXCbLCrgIEpnjANM3Zr8/QyCQd/WY7vm8DCyzxrC/FGKDA==" saltValue="kHip4ecprxKu/QGbWSYWj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224</v>
      </c>
      <c r="C8" s="119"/>
      <c r="D8" s="120"/>
      <c r="E8" s="1"/>
      <c r="F8" s="1"/>
    </row>
    <row r="9" spans="1:6" ht="15" customHeight="1" x14ac:dyDescent="0.25">
      <c r="A9" s="1"/>
      <c r="B9" s="27" t="s">
        <v>29</v>
      </c>
      <c r="C9" s="50" t="s">
        <v>225</v>
      </c>
      <c r="D9" s="11"/>
      <c r="E9" s="1"/>
      <c r="F9" s="1"/>
    </row>
    <row r="10" spans="1:6" ht="15" customHeight="1" x14ac:dyDescent="0.25">
      <c r="A10" s="1"/>
      <c r="B10" s="82" t="s">
        <v>272</v>
      </c>
      <c r="C10" s="9">
        <v>1141042</v>
      </c>
      <c r="D10" s="14" t="s">
        <v>3</v>
      </c>
      <c r="E10" s="1"/>
      <c r="F10" s="1"/>
    </row>
    <row r="11" spans="1:6" ht="15" customHeight="1" x14ac:dyDescent="0.25">
      <c r="A11" s="1"/>
      <c r="B11" s="82" t="s">
        <v>273</v>
      </c>
      <c r="C11" s="9">
        <v>82237</v>
      </c>
      <c r="D11" s="14" t="s">
        <v>3</v>
      </c>
      <c r="E11" s="1"/>
      <c r="F11" s="1"/>
    </row>
    <row r="12" spans="1:6" ht="26.25" x14ac:dyDescent="0.25">
      <c r="A12" s="1"/>
      <c r="B12" s="29" t="s">
        <v>274</v>
      </c>
      <c r="C12" s="9">
        <v>281571</v>
      </c>
      <c r="D12" s="14" t="s">
        <v>3</v>
      </c>
      <c r="E12" s="1"/>
      <c r="F12" s="1"/>
    </row>
    <row r="13" spans="1:6" x14ac:dyDescent="0.25">
      <c r="A13" s="1"/>
      <c r="B13" s="82" t="s">
        <v>275</v>
      </c>
      <c r="C13" s="9">
        <v>729016</v>
      </c>
      <c r="D13" s="14" t="s">
        <v>3</v>
      </c>
      <c r="E13" s="1"/>
      <c r="F13" s="1"/>
    </row>
    <row r="14" spans="1:6" x14ac:dyDescent="0.25">
      <c r="A14" s="1"/>
      <c r="B14" s="82"/>
      <c r="C14" s="9"/>
      <c r="D14" s="14" t="s">
        <v>3</v>
      </c>
      <c r="E14" s="1"/>
      <c r="F14" s="1"/>
    </row>
    <row r="15" spans="1:6" x14ac:dyDescent="0.25">
      <c r="A15" s="1"/>
      <c r="B15" s="82"/>
      <c r="C15" s="9"/>
      <c r="D15" s="14" t="s">
        <v>3</v>
      </c>
      <c r="E15" s="1"/>
      <c r="F15" s="1"/>
    </row>
    <row r="16" spans="1:6" x14ac:dyDescent="0.25">
      <c r="A16" s="1"/>
      <c r="B16" s="82"/>
      <c r="C16" s="9"/>
      <c r="D16" s="14" t="s">
        <v>3</v>
      </c>
      <c r="E16" s="1"/>
      <c r="F16" s="1"/>
    </row>
    <row r="17" spans="1:6" x14ac:dyDescent="0.25">
      <c r="A17" s="1"/>
      <c r="B17" s="82"/>
      <c r="C17" s="9"/>
      <c r="D17" s="14" t="s">
        <v>3</v>
      </c>
      <c r="E17" s="1"/>
      <c r="F17" s="1"/>
    </row>
    <row r="18" spans="1:6" x14ac:dyDescent="0.25">
      <c r="A18" s="1"/>
      <c r="B18" s="82"/>
      <c r="C18" s="9"/>
      <c r="D18" s="14" t="s">
        <v>3</v>
      </c>
      <c r="E18" s="1"/>
      <c r="F18" s="1"/>
    </row>
    <row r="19" spans="1:6" x14ac:dyDescent="0.25">
      <c r="A19" s="1"/>
      <c r="B19" s="82"/>
      <c r="C19" s="9"/>
      <c r="D19" s="14" t="s">
        <v>3</v>
      </c>
      <c r="E19" s="1"/>
      <c r="F19" s="1"/>
    </row>
    <row r="20" spans="1:6" x14ac:dyDescent="0.25">
      <c r="A20" s="1"/>
      <c r="B20" s="33" t="s">
        <v>226</v>
      </c>
      <c r="C20" s="12">
        <f>SUM(C10:C19)</f>
        <v>2233866</v>
      </c>
      <c r="D20" s="13" t="s">
        <v>3</v>
      </c>
      <c r="E20" s="1"/>
      <c r="F20" s="1"/>
    </row>
    <row r="21" spans="1:6" x14ac:dyDescent="0.25">
      <c r="A21" s="1"/>
      <c r="B21" s="33" t="s">
        <v>227</v>
      </c>
      <c r="C21" s="12">
        <f>C20*(1+'Fane 15. Nøgletal'!C16)^2</f>
        <v>2609442.85252224</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8" t="s">
        <v>99</v>
      </c>
      <c r="C24" s="119"/>
      <c r="D24" s="120"/>
      <c r="E24" s="1"/>
      <c r="F24" s="1"/>
    </row>
    <row r="25" spans="1:6" x14ac:dyDescent="0.25">
      <c r="A25" s="1"/>
      <c r="B25" s="82" t="s">
        <v>109</v>
      </c>
      <c r="C25" s="9">
        <v>0</v>
      </c>
      <c r="D25" s="14" t="s">
        <v>3</v>
      </c>
      <c r="E25" s="1"/>
      <c r="F25" s="1"/>
    </row>
    <row r="26" spans="1:6" x14ac:dyDescent="0.25">
      <c r="A26" s="1"/>
      <c r="B26" s="82" t="s">
        <v>123</v>
      </c>
      <c r="C26" s="9">
        <v>0</v>
      </c>
      <c r="D26" s="14" t="s">
        <v>3</v>
      </c>
      <c r="E26" s="1"/>
      <c r="F26" s="1"/>
    </row>
    <row r="27" spans="1:6" x14ac:dyDescent="0.25">
      <c r="A27" s="1"/>
      <c r="B27" s="82" t="s">
        <v>142</v>
      </c>
      <c r="C27" s="9">
        <v>0</v>
      </c>
      <c r="D27" s="14" t="s">
        <v>3</v>
      </c>
      <c r="E27" s="1"/>
      <c r="F27" s="1"/>
    </row>
    <row r="28" spans="1:6" x14ac:dyDescent="0.25">
      <c r="A28" s="1"/>
      <c r="B28" s="34" t="s">
        <v>261</v>
      </c>
      <c r="C28" s="9">
        <v>0</v>
      </c>
      <c r="D28" s="38" t="s">
        <v>3</v>
      </c>
      <c r="E28" s="1"/>
      <c r="F28" s="1"/>
    </row>
    <row r="29" spans="1:6" x14ac:dyDescent="0.25">
      <c r="A29" s="1"/>
      <c r="B29" s="118"/>
      <c r="C29" s="119"/>
      <c r="D29" s="120"/>
      <c r="E29" s="1"/>
      <c r="F29" s="1"/>
    </row>
    <row r="30" spans="1:6" x14ac:dyDescent="0.25">
      <c r="A30" s="1"/>
      <c r="B30" s="1"/>
      <c r="C30" s="1"/>
      <c r="D30" s="1"/>
      <c r="E30" s="1"/>
      <c r="F30" s="1"/>
    </row>
    <row r="31" spans="1:6" x14ac:dyDescent="0.25">
      <c r="A31" s="1"/>
      <c r="B31" s="1"/>
      <c r="C31" s="1"/>
      <c r="D31" s="1"/>
      <c r="E31" s="1"/>
      <c r="F31" s="1"/>
    </row>
    <row r="32" spans="1:6" x14ac:dyDescent="0.25">
      <c r="A32" s="1"/>
      <c r="B32" s="118" t="s">
        <v>81</v>
      </c>
      <c r="C32" s="119"/>
      <c r="D32" s="120"/>
      <c r="E32" s="1"/>
      <c r="F32" s="1"/>
    </row>
    <row r="33" spans="1:6" x14ac:dyDescent="0.25">
      <c r="A33" s="1"/>
      <c r="B33" s="82" t="s">
        <v>109</v>
      </c>
      <c r="C33" s="9">
        <v>0</v>
      </c>
      <c r="D33" s="14" t="s">
        <v>3</v>
      </c>
      <c r="E33" s="1"/>
      <c r="F33" s="1"/>
    </row>
    <row r="34" spans="1:6" x14ac:dyDescent="0.25">
      <c r="A34" s="1"/>
      <c r="B34" s="82" t="s">
        <v>123</v>
      </c>
      <c r="C34" s="9">
        <v>0</v>
      </c>
      <c r="D34" s="14" t="s">
        <v>3</v>
      </c>
      <c r="E34" s="1"/>
      <c r="F34" s="1"/>
    </row>
    <row r="35" spans="1:6" x14ac:dyDescent="0.25">
      <c r="A35" s="1"/>
      <c r="B35" s="82" t="s">
        <v>142</v>
      </c>
      <c r="C35" s="9">
        <v>0</v>
      </c>
      <c r="D35" s="14" t="s">
        <v>3</v>
      </c>
      <c r="E35" s="1"/>
      <c r="F35" s="1"/>
    </row>
    <row r="36" spans="1:6" x14ac:dyDescent="0.25">
      <c r="A36" s="1"/>
      <c r="B36" s="34" t="s">
        <v>261</v>
      </c>
      <c r="C36" s="9">
        <v>0</v>
      </c>
      <c r="D36" s="38" t="s">
        <v>3</v>
      </c>
      <c r="E36" s="1"/>
      <c r="F36" s="1"/>
    </row>
    <row r="37" spans="1:6" x14ac:dyDescent="0.25">
      <c r="A37" s="1"/>
      <c r="B37" s="118"/>
      <c r="C37" s="119"/>
      <c r="D37" s="120"/>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7WLfp7GMmAY2QzCAUmmqfGh0tl426UKCg+YG/CafKqUWH6GgsXOFlYndtR5exeVAfbRca3vH1NZPvLzMDXJB/g==" saltValue="BwM619xC7JkC2yKR2Txoh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D9AD-CB9E-4BB9-9DD9-0AB4D81480DE}">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5" customHeight="1" x14ac:dyDescent="0.25">
      <c r="A7" s="1"/>
      <c r="B7" s="1"/>
      <c r="C7" s="1"/>
      <c r="D7" s="1"/>
      <c r="E7" s="1"/>
      <c r="F7" s="1"/>
      <c r="G7" s="1"/>
    </row>
    <row r="8" spans="1:7" ht="15" customHeight="1" x14ac:dyDescent="0.25">
      <c r="A8" s="1"/>
      <c r="B8" s="118" t="s">
        <v>137</v>
      </c>
      <c r="C8" s="119"/>
      <c r="D8" s="119"/>
      <c r="E8" s="119"/>
      <c r="F8" s="120"/>
      <c r="G8" s="1"/>
    </row>
    <row r="9" spans="1:7" ht="15" customHeight="1" x14ac:dyDescent="0.25">
      <c r="A9" s="1"/>
      <c r="B9" s="121" t="s">
        <v>279</v>
      </c>
      <c r="C9" s="122"/>
      <c r="D9" s="123"/>
      <c r="E9" s="9">
        <v>4308484</v>
      </c>
      <c r="F9" s="14" t="s">
        <v>3</v>
      </c>
      <c r="G9" s="1"/>
    </row>
    <row r="10" spans="1:7" ht="15" customHeight="1" x14ac:dyDescent="0.25">
      <c r="A10" s="1"/>
      <c r="B10" s="121" t="s">
        <v>143</v>
      </c>
      <c r="C10" s="122"/>
      <c r="D10" s="123"/>
      <c r="E10" s="9">
        <v>9849874</v>
      </c>
      <c r="F10" s="14" t="s">
        <v>3</v>
      </c>
      <c r="G10" s="1"/>
    </row>
    <row r="11" spans="1:7" ht="15" customHeight="1" x14ac:dyDescent="0.25">
      <c r="A11" s="1"/>
      <c r="B11" s="121" t="s">
        <v>280</v>
      </c>
      <c r="C11" s="122"/>
      <c r="D11" s="123"/>
      <c r="E11" s="9">
        <v>-14437003</v>
      </c>
      <c r="F11" s="14" t="s">
        <v>3</v>
      </c>
      <c r="G11" s="1"/>
    </row>
    <row r="12" spans="1:7" x14ac:dyDescent="0.25">
      <c r="A12" s="1"/>
      <c r="B12" s="33"/>
      <c r="C12" s="28"/>
      <c r="D12" s="28"/>
      <c r="E12" s="28"/>
      <c r="F12" s="19"/>
      <c r="G12" s="1"/>
    </row>
    <row r="13" spans="1:7" ht="42" customHeight="1" x14ac:dyDescent="0.25">
      <c r="A13" s="1"/>
      <c r="B13" s="115" t="s">
        <v>281</v>
      </c>
      <c r="C13" s="116"/>
      <c r="D13" s="116"/>
      <c r="E13" s="116"/>
      <c r="F13" s="117"/>
      <c r="G13" s="1"/>
    </row>
    <row r="14" spans="1:7" ht="15" customHeight="1" x14ac:dyDescent="0.25">
      <c r="A14" s="1"/>
      <c r="B14" s="1"/>
      <c r="C14" s="1"/>
      <c r="D14" s="1"/>
      <c r="E14" s="1"/>
      <c r="F14" s="1"/>
      <c r="G14" s="1"/>
    </row>
    <row r="15" spans="1:7" x14ac:dyDescent="0.25">
      <c r="A15" s="1"/>
      <c r="B15" s="76" t="s">
        <v>282</v>
      </c>
      <c r="C15" s="77"/>
      <c r="D15" s="77"/>
      <c r="E15" s="77"/>
      <c r="F15" s="78"/>
      <c r="G15" s="1"/>
    </row>
    <row r="16" spans="1:7" x14ac:dyDescent="0.25">
      <c r="A16" s="1"/>
      <c r="B16" s="79" t="s">
        <v>283</v>
      </c>
      <c r="C16" s="80"/>
      <c r="D16" s="81"/>
      <c r="E16" s="9">
        <f>IF(E11&lt;0,E11,0)</f>
        <v>-14437003</v>
      </c>
      <c r="F16" s="14" t="s">
        <v>3</v>
      </c>
      <c r="G16" s="1"/>
    </row>
    <row r="17" spans="1:7" x14ac:dyDescent="0.25">
      <c r="A17" s="1"/>
      <c r="B17" s="79" t="s">
        <v>284</v>
      </c>
      <c r="C17" s="80"/>
      <c r="D17" s="81"/>
      <c r="E17" s="9">
        <f>IF(SUM(E10)&gt;0,SUM(E10),0)</f>
        <v>9849874</v>
      </c>
      <c r="F17" s="14" t="s">
        <v>3</v>
      </c>
      <c r="G17" s="1"/>
    </row>
    <row r="18" spans="1:7" x14ac:dyDescent="0.25">
      <c r="A18" s="1"/>
      <c r="B18" s="83" t="s">
        <v>285</v>
      </c>
      <c r="C18" s="84"/>
      <c r="D18" s="85"/>
      <c r="E18" s="62">
        <f>IF(SUM(E16:E17)&gt;0,0,SUM(E16:E17))</f>
        <v>-4587129</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6" t="s">
        <v>286</v>
      </c>
      <c r="C21" s="77"/>
      <c r="D21" s="77"/>
      <c r="E21" s="77"/>
      <c r="F21" s="78"/>
      <c r="G21" s="1"/>
    </row>
    <row r="22" spans="1:7" x14ac:dyDescent="0.25">
      <c r="A22" s="1"/>
      <c r="B22" s="79" t="s">
        <v>287</v>
      </c>
      <c r="C22" s="80"/>
      <c r="D22" s="81"/>
      <c r="E22" s="9">
        <v>95093978</v>
      </c>
      <c r="F22" s="14" t="s">
        <v>3</v>
      </c>
      <c r="G22" s="1"/>
    </row>
    <row r="23" spans="1:7" x14ac:dyDescent="0.25">
      <c r="A23" s="1"/>
      <c r="B23" s="79" t="s">
        <v>288</v>
      </c>
      <c r="C23" s="80"/>
      <c r="D23" s="81"/>
      <c r="E23" s="9">
        <v>102933655</v>
      </c>
      <c r="F23" s="14" t="s">
        <v>3</v>
      </c>
      <c r="G23" s="1"/>
    </row>
    <row r="24" spans="1:7" x14ac:dyDescent="0.25">
      <c r="A24" s="1"/>
      <c r="B24" s="79" t="s">
        <v>30</v>
      </c>
      <c r="C24" s="80"/>
      <c r="D24" s="81"/>
      <c r="E24" s="9">
        <v>0</v>
      </c>
      <c r="F24" s="14" t="s">
        <v>3</v>
      </c>
      <c r="G24" s="1"/>
    </row>
    <row r="25" spans="1:7" x14ac:dyDescent="0.25">
      <c r="A25" s="1"/>
      <c r="B25" s="83" t="s">
        <v>289</v>
      </c>
      <c r="C25" s="84"/>
      <c r="D25" s="85"/>
      <c r="E25" s="62">
        <f>E22-E23-E24</f>
        <v>-7839677</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8" t="s">
        <v>290</v>
      </c>
      <c r="C28" s="119"/>
      <c r="D28" s="119"/>
      <c r="E28" s="119"/>
      <c r="F28" s="120"/>
      <c r="G28" s="1"/>
    </row>
    <row r="29" spans="1:7" x14ac:dyDescent="0.25">
      <c r="A29" s="1"/>
      <c r="B29" s="133" t="s">
        <v>116</v>
      </c>
      <c r="C29" s="134"/>
      <c r="D29" s="135"/>
      <c r="E29" s="9">
        <f>IF(E18&lt;0,IF(E25&lt;0,SUM(E18,E25),IF(E10&gt;0,SUM(E10:E11),E18)),IF(AND(E25&lt;0,SUM(E25,E11)&lt;0),IF(E11&lt;0,E25,IF(SUM(E10:E11)&gt;0,SUM(E25,E11),IF(AND(E25&lt;0,E18=0,E11&gt;0),IF(SUM(E9:E11)&gt;0,E25+E11,E25)))),0))</f>
        <v>-12426806</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-6213403</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4F1jJ03n+GeYzRFyIOPA9OsLpVm2HgpQu5MhnMNfd4j4nxdqkQxCjOu0a+CZxMjtOcVfqB4GCwuIkrkngrXvCw==" saltValue="QD/joGOoqylmqYDuxkvAbQ=="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189</v>
      </c>
      <c r="C8" s="119"/>
      <c r="D8" s="119"/>
      <c r="E8" s="119"/>
      <c r="F8" s="119"/>
      <c r="G8" s="119"/>
      <c r="H8" s="120"/>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8" t="s">
        <v>180</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Bs86MLWiX6PBc+kT3SEqmbrsacVkM0/Ah34DvxGUX4zW3tgjxAx/0rcPUy+5e5fyzvKX4Q8m6qqxy4xRv8ZRg==" saltValue="mLdXHAmBp2SddO3arUYLkQ=="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228</v>
      </c>
      <c r="C9" s="119"/>
      <c r="D9" s="119"/>
      <c r="E9" s="119"/>
      <c r="F9" s="120"/>
      <c r="G9" s="1"/>
    </row>
    <row r="10" spans="1:7" x14ac:dyDescent="0.25">
      <c r="A10" s="1"/>
      <c r="B10" s="115" t="s">
        <v>82</v>
      </c>
      <c r="C10" s="116"/>
      <c r="D10" s="117"/>
      <c r="E10" s="7">
        <v>0</v>
      </c>
      <c r="F10" s="8" t="s">
        <v>3</v>
      </c>
      <c r="G10" s="1"/>
    </row>
    <row r="11" spans="1:7" x14ac:dyDescent="0.25">
      <c r="A11" s="1"/>
      <c r="B11" s="121" t="s">
        <v>229</v>
      </c>
      <c r="C11" s="122"/>
      <c r="D11" s="123"/>
      <c r="E11" s="73">
        <v>1167164.17</v>
      </c>
      <c r="F11" s="8" t="s">
        <v>3</v>
      </c>
      <c r="G11" s="1"/>
    </row>
    <row r="12" spans="1:7" x14ac:dyDescent="0.25">
      <c r="A12" s="1"/>
      <c r="B12" s="136" t="s">
        <v>83</v>
      </c>
      <c r="C12" s="137"/>
      <c r="D12" s="138"/>
      <c r="E12" s="10">
        <f>E11-E10</f>
        <v>1167164.17</v>
      </c>
      <c r="F12" s="11" t="s">
        <v>3</v>
      </c>
      <c r="G12" s="1"/>
    </row>
    <row r="13" spans="1:7" x14ac:dyDescent="0.25">
      <c r="A13" s="1"/>
      <c r="B13" s="118" t="s">
        <v>78</v>
      </c>
      <c r="C13" s="119"/>
      <c r="D13" s="119"/>
      <c r="E13" s="119"/>
      <c r="F13" s="120"/>
      <c r="G13" s="1"/>
    </row>
    <row r="14" spans="1:7" x14ac:dyDescent="0.25">
      <c r="A14" s="1"/>
      <c r="B14" s="121" t="s">
        <v>230</v>
      </c>
      <c r="C14" s="122"/>
      <c r="D14" s="123"/>
      <c r="E14" s="7">
        <v>0</v>
      </c>
      <c r="F14" s="8" t="s">
        <v>3</v>
      </c>
      <c r="G14" s="1"/>
    </row>
    <row r="15" spans="1:7" x14ac:dyDescent="0.25">
      <c r="A15" s="1"/>
      <c r="B15" s="115" t="s">
        <v>231</v>
      </c>
      <c r="C15" s="116"/>
      <c r="D15" s="117"/>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1167164.17</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y9Fg+eC2bKVJdK4M6s2ms7MxoprZGPXW+NN908pndc9k2CWTHwnh6CJDs9RAEpILdx5EyooMe9FEor2kZtdsQ==" saltValue="NhpW9NIc2W+a0DcKWU+qg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70" zoomScaleNormal="100" zoomScalePageLayoutView="7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149</v>
      </c>
      <c r="C8" s="119"/>
      <c r="D8" s="119"/>
      <c r="E8" s="119"/>
      <c r="F8" s="119"/>
      <c r="G8" s="119"/>
      <c r="H8" s="119"/>
      <c r="I8" s="119"/>
      <c r="J8" s="119"/>
      <c r="K8" s="120"/>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6" t="s">
        <v>265</v>
      </c>
      <c r="C10" s="45">
        <v>0</v>
      </c>
      <c r="D10" s="9">
        <v>0</v>
      </c>
      <c r="E10" s="14" t="s">
        <v>3</v>
      </c>
      <c r="F10" s="9">
        <v>0</v>
      </c>
      <c r="G10" s="14" t="s">
        <v>3</v>
      </c>
      <c r="H10" s="41">
        <v>0</v>
      </c>
      <c r="I10" s="14" t="s">
        <v>3</v>
      </c>
      <c r="J10" s="41">
        <v>0</v>
      </c>
      <c r="K10" s="14" t="s">
        <v>3</v>
      </c>
      <c r="L10" s="1"/>
    </row>
    <row r="11" spans="1:12" x14ac:dyDescent="0.25">
      <c r="A11" s="1"/>
      <c r="B11" s="76" t="s">
        <v>150</v>
      </c>
      <c r="C11" s="77"/>
      <c r="D11" s="78"/>
      <c r="E11" s="78"/>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ru6vfVwmLT7LKE/yUUpscMwv4fX/pAR3XjeeivwiwcH9A1wjbAdrHxgLvnLn1LlMMWWFV1InYCFBOFaOfdoJ1g==" saltValue="bmHVdvKj9/E1AFa1EB2dY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276</v>
      </c>
      <c r="C11" s="21">
        <v>135669</v>
      </c>
      <c r="D11" s="14" t="s">
        <v>3</v>
      </c>
      <c r="E11" s="9">
        <v>1695271</v>
      </c>
      <c r="F11" s="14" t="s">
        <v>3</v>
      </c>
      <c r="G11" s="1"/>
    </row>
    <row r="12" spans="1:7" x14ac:dyDescent="0.25">
      <c r="A12" s="1"/>
      <c r="B12" s="24" t="s">
        <v>277</v>
      </c>
      <c r="C12" s="21">
        <v>0</v>
      </c>
      <c r="D12" s="14" t="s">
        <v>3</v>
      </c>
      <c r="E12" s="9">
        <v>373986</v>
      </c>
      <c r="F12" s="14" t="s">
        <v>3</v>
      </c>
      <c r="G12" s="1"/>
    </row>
    <row r="13" spans="1:7" x14ac:dyDescent="0.25">
      <c r="A13" s="1"/>
      <c r="B13" s="24" t="s">
        <v>278</v>
      </c>
      <c r="C13" s="21">
        <v>3722562</v>
      </c>
      <c r="D13" s="14" t="s">
        <v>3</v>
      </c>
      <c r="E13" s="9">
        <v>1449935</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3858231</v>
      </c>
      <c r="D19" s="13" t="s">
        <v>3</v>
      </c>
      <c r="E19" s="12">
        <f>SUM(E10:E18)</f>
        <v>3519192</v>
      </c>
      <c r="F19" s="13" t="s">
        <v>3</v>
      </c>
      <c r="G19" s="1"/>
    </row>
    <row r="20" spans="1:7" x14ac:dyDescent="0.25">
      <c r="A20" s="1"/>
      <c r="B20" s="33" t="s">
        <v>233</v>
      </c>
      <c r="C20" s="12">
        <f>C19*(1+'Fane 15. Nøgletal'!C16)</f>
        <v>4169976.0647999998</v>
      </c>
      <c r="D20" s="13" t="s">
        <v>3</v>
      </c>
      <c r="E20" s="12">
        <f>E19*(1+'Fane 15. Nøgletal'!C16)</f>
        <v>3803542.7135999999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vUWB9Wuim0ZbfHNpd533AOmsw7LeckDY7Vic6qgfnrKQ1MHkhvxPTrNj+kowr0E1YUxVZosD9toGFppsTTQ1w==" saltValue="R7Ee//DI4Ql4QMEh5+OPd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260</v>
      </c>
      <c r="C8" s="119"/>
      <c r="D8" s="119"/>
      <c r="E8" s="119"/>
      <c r="F8" s="120"/>
      <c r="G8" s="1"/>
    </row>
    <row r="9" spans="1:7" x14ac:dyDescent="0.25">
      <c r="A9" s="1"/>
      <c r="B9" s="87" t="s">
        <v>17</v>
      </c>
      <c r="C9" s="87" t="s">
        <v>11</v>
      </c>
      <c r="D9" s="88"/>
      <c r="E9" s="87"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ANcYTcb0D5+qhmWa6ouHO6yoy7KBJNORRLcIAE2EGjy+b8dYZ477y79M760OWIHkYAn3aa+j0a/gjZCmPneCA==" saltValue="48i4Rkbc4F427l4lyc0u0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8" t="s">
        <v>110</v>
      </c>
      <c r="C9" s="119"/>
      <c r="D9" s="119"/>
      <c r="E9" s="119"/>
      <c r="F9" s="120"/>
      <c r="G9" s="1"/>
    </row>
    <row r="10" spans="1:7" x14ac:dyDescent="0.25">
      <c r="A10" s="1"/>
      <c r="B10" s="142" t="s">
        <v>236</v>
      </c>
      <c r="C10" s="143"/>
      <c r="D10" s="144"/>
      <c r="E10" s="9">
        <v>465035.64810294873</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-9300.7129620589749</v>
      </c>
      <c r="F12" s="14" t="s">
        <v>3</v>
      </c>
      <c r="G12" s="1"/>
    </row>
    <row r="13" spans="1:7" x14ac:dyDescent="0.25">
      <c r="A13" s="1"/>
      <c r="B13" s="118" t="s">
        <v>111</v>
      </c>
      <c r="C13" s="119"/>
      <c r="D13" s="120"/>
      <c r="E13" s="12">
        <f>SUM(E10:E12)*(1+'Fane 15. Nøgletal'!C16)^2</f>
        <v>532357.02998661576</v>
      </c>
      <c r="F13" s="13" t="s">
        <v>3</v>
      </c>
      <c r="G13" s="1"/>
    </row>
    <row r="14" spans="1:7" x14ac:dyDescent="0.25">
      <c r="A14" s="1"/>
      <c r="B14" s="1"/>
      <c r="C14" s="1"/>
      <c r="D14" s="1"/>
      <c r="E14" s="1"/>
      <c r="F14" s="1"/>
      <c r="G14" s="1"/>
    </row>
    <row r="15" spans="1:7" ht="15" customHeight="1" x14ac:dyDescent="0.25">
      <c r="A15" s="1"/>
      <c r="B15" s="118" t="s">
        <v>124</v>
      </c>
      <c r="C15" s="119"/>
      <c r="D15" s="119"/>
      <c r="E15" s="119"/>
      <c r="F15" s="120"/>
      <c r="G15" s="1"/>
    </row>
    <row r="16" spans="1:7" x14ac:dyDescent="0.25">
      <c r="A16" s="1"/>
      <c r="B16" s="142" t="s">
        <v>236</v>
      </c>
      <c r="C16" s="143"/>
      <c r="D16" s="144"/>
      <c r="E16" s="9">
        <v>465035.64810294873</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-9300.7129620589749</v>
      </c>
      <c r="F18" s="14" t="s">
        <v>3</v>
      </c>
      <c r="G18" s="1"/>
    </row>
    <row r="19" spans="1:7" x14ac:dyDescent="0.25">
      <c r="A19" s="1"/>
      <c r="B19" s="118" t="s">
        <v>125</v>
      </c>
      <c r="C19" s="119"/>
      <c r="D19" s="120"/>
      <c r="E19" s="12">
        <f>SUM(E16:E18)*(1+'Fane 15. Nøgletal'!C16)^3</f>
        <v>575371.4780095343</v>
      </c>
      <c r="F19" s="13" t="s">
        <v>3</v>
      </c>
      <c r="G19" s="1"/>
    </row>
    <row r="20" spans="1:7" x14ac:dyDescent="0.25">
      <c r="A20" s="1"/>
      <c r="B20" s="1"/>
      <c r="C20" s="1"/>
      <c r="D20" s="1"/>
      <c r="E20" s="1"/>
      <c r="F20" s="1"/>
      <c r="G20" s="1"/>
    </row>
    <row r="21" spans="1:7" ht="15" customHeight="1" x14ac:dyDescent="0.25">
      <c r="A21" s="1"/>
      <c r="B21" s="118" t="s">
        <v>145</v>
      </c>
      <c r="C21" s="119"/>
      <c r="D21" s="119"/>
      <c r="E21" s="119"/>
      <c r="F21" s="120"/>
      <c r="G21" s="1"/>
    </row>
    <row r="22" spans="1:7" x14ac:dyDescent="0.25">
      <c r="A22" s="1"/>
      <c r="B22" s="142" t="s">
        <v>236</v>
      </c>
      <c r="C22" s="143"/>
      <c r="D22" s="144"/>
      <c r="E22" s="9">
        <v>465035.64810294873</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-9300.7129620589749</v>
      </c>
      <c r="F24" s="14" t="s">
        <v>3</v>
      </c>
      <c r="G24" s="1"/>
    </row>
    <row r="25" spans="1:7" x14ac:dyDescent="0.25">
      <c r="A25" s="1"/>
      <c r="B25" s="118" t="s">
        <v>146</v>
      </c>
      <c r="C25" s="119"/>
      <c r="D25" s="120"/>
      <c r="E25" s="12">
        <f>SUM(E22:E24)*(1+'Fane 15. Nøgletal'!C16)^4</f>
        <v>621861.49343270459</v>
      </c>
      <c r="F25" s="13" t="s">
        <v>3</v>
      </c>
      <c r="G25" s="1"/>
    </row>
    <row r="26" spans="1:7" x14ac:dyDescent="0.25">
      <c r="A26" s="1"/>
      <c r="B26" s="1"/>
      <c r="C26" s="1"/>
      <c r="D26" s="1"/>
      <c r="E26" s="1"/>
      <c r="F26" s="1"/>
      <c r="G26" s="1"/>
    </row>
    <row r="27" spans="1:7" ht="15" customHeight="1" x14ac:dyDescent="0.25">
      <c r="A27" s="1"/>
      <c r="B27" s="118" t="s">
        <v>237</v>
      </c>
      <c r="C27" s="119"/>
      <c r="D27" s="119"/>
      <c r="E27" s="119"/>
      <c r="F27" s="120"/>
      <c r="G27" s="1"/>
    </row>
    <row r="28" spans="1:7" ht="14.25" customHeight="1" x14ac:dyDescent="0.25">
      <c r="A28" s="1"/>
      <c r="B28" s="142" t="s">
        <v>236</v>
      </c>
      <c r="C28" s="143"/>
      <c r="D28" s="144"/>
      <c r="E28" s="9">
        <v>465035.64810294873</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-9300.7129620589749</v>
      </c>
      <c r="F30" s="14" t="s">
        <v>3</v>
      </c>
      <c r="G30" s="1"/>
    </row>
    <row r="31" spans="1:7" x14ac:dyDescent="0.25">
      <c r="A31" s="1"/>
      <c r="B31" s="118" t="s">
        <v>238</v>
      </c>
      <c r="C31" s="119"/>
      <c r="D31" s="120"/>
      <c r="E31" s="12">
        <f>SUM(E28:E30)*(1+'Fane 15. Nøgletal'!C16)^5</f>
        <v>672107.90210206714</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4Y+sc46xzPmHf5HE8VwO6VBrM/I/CIqr+0EM1PUNSxL9TBwhApmbkrh3AdYn4QZPOH2TMWG33T3NtCVXLs1vg==" saltValue="2NqrADGI5RLE6ynKO7iFA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70" zoomScaleNormal="100" zoomScalePageLayoutView="7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gFnmNSlbumw79JViMXTg0+8XsB6Z74AuXZoupTG2102VTlRRef+JbSvulQygm1vSJbGIj4poCUvjMZjO0k6VQ==" saltValue="qykl3zjKXQ/ZteCMFm7jk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240</v>
      </c>
      <c r="C9" s="119"/>
      <c r="D9" s="119"/>
      <c r="E9" s="119"/>
      <c r="F9" s="120"/>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jYuNug0wZ6L2uYB6yvepYmQiWjZUuAD3ATo/PGsfSLM9ojCHvivOqKrbxcWJXMxEKVszZB0VGJrv0lsoz8mBUg==" saltValue="yY2yr+V8aZcbHLetw6cVF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93109424.349327013</v>
      </c>
      <c r="D9" s="8" t="s">
        <v>3</v>
      </c>
      <c r="E9" s="1"/>
    </row>
    <row r="10" spans="1:5" ht="17.25" customHeight="1" x14ac:dyDescent="0.25">
      <c r="A10" s="1"/>
      <c r="B10" s="89" t="s">
        <v>36</v>
      </c>
      <c r="C10" s="7">
        <f>'Fane 11.1. Varige tillæg'!C20</f>
        <v>4169976.0647999998</v>
      </c>
      <c r="D10" s="8" t="s">
        <v>3</v>
      </c>
      <c r="E10" s="1"/>
    </row>
    <row r="11" spans="1:5" ht="17.25" customHeight="1" x14ac:dyDescent="0.25">
      <c r="A11" s="1"/>
      <c r="B11" s="89" t="s">
        <v>37</v>
      </c>
      <c r="C11" s="9">
        <f>'Fane 11.1. Varige tillæg'!E20</f>
        <v>3803542.7135999999</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1">
        <f>SUM(C9)*'Fane 15. Nøgletal'!C16+SUM(C10:C15)*'Fane 15. Nøgletal'!C16</f>
        <v>8167501.8047203422</v>
      </c>
      <c r="D16" s="8" t="s">
        <v>3</v>
      </c>
      <c r="E16" s="1"/>
    </row>
    <row r="17" spans="1:5" ht="17.25" customHeight="1" x14ac:dyDescent="0.25">
      <c r="A17" s="1"/>
      <c r="B17" s="89" t="s">
        <v>10</v>
      </c>
      <c r="C17" s="41">
        <f>-SUM(C9,C10:C16)*'Fane 5. Individuelt eff. krav'!G9</f>
        <v>0</v>
      </c>
      <c r="D17" s="8" t="s">
        <v>3</v>
      </c>
      <c r="E17" s="1"/>
    </row>
    <row r="18" spans="1:5" ht="17.25" customHeight="1" x14ac:dyDescent="0.25">
      <c r="A18" s="1"/>
      <c r="B18" s="89" t="s">
        <v>23</v>
      </c>
      <c r="C18" s="41">
        <f>-'Fane 4.1. Gen. krav - drift'!G54</f>
        <v>-735338.92108539003</v>
      </c>
      <c r="D18" s="8" t="s">
        <v>3</v>
      </c>
      <c r="E18" s="1"/>
    </row>
    <row r="19" spans="1:5" ht="17.25" customHeight="1" x14ac:dyDescent="0.25">
      <c r="A19" s="1"/>
      <c r="B19" s="89" t="s">
        <v>24</v>
      </c>
      <c r="C19" s="41">
        <f>-'Fane 4.2. Gen. krav - anlæg'!G55</f>
        <v>0</v>
      </c>
      <c r="D19" s="8" t="s">
        <v>3</v>
      </c>
      <c r="E19" s="47"/>
    </row>
    <row r="20" spans="1:5" ht="17.25" customHeight="1" x14ac:dyDescent="0.25">
      <c r="A20" s="1"/>
      <c r="B20" s="83" t="s">
        <v>21</v>
      </c>
      <c r="C20" s="10">
        <f>SUM(C9:C19)</f>
        <v>108515106.01136196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2609442.85252224</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532357.02998661576</v>
      </c>
      <c r="D24" s="11" t="s">
        <v>3</v>
      </c>
      <c r="E24" s="1"/>
    </row>
    <row r="25" spans="1:5" ht="15" customHeight="1" x14ac:dyDescent="0.25">
      <c r="A25" s="1"/>
      <c r="B25" s="44" t="s">
        <v>73</v>
      </c>
      <c r="C25" s="42"/>
      <c r="D25" s="43"/>
      <c r="E25" s="1"/>
    </row>
    <row r="26" spans="1:5" ht="15" customHeight="1" x14ac:dyDescent="0.25">
      <c r="A26" s="1"/>
      <c r="B26" s="89" t="s">
        <v>158</v>
      </c>
      <c r="C26" s="72">
        <f>'Fane 11.2. Engangstillæg'!C14</f>
        <v>0</v>
      </c>
      <c r="D26" s="8" t="s">
        <v>3</v>
      </c>
      <c r="E26" s="1"/>
    </row>
    <row r="27" spans="1:5" ht="15" customHeight="1" x14ac:dyDescent="0.25">
      <c r="A27" s="1"/>
      <c r="B27" s="89" t="s">
        <v>70</v>
      </c>
      <c r="C27" s="72">
        <f>'Fane 11.2. Engangstillæg'!E14</f>
        <v>0</v>
      </c>
      <c r="D27" s="8" t="s">
        <v>3</v>
      </c>
      <c r="E27" s="1"/>
    </row>
    <row r="28" spans="1:5" ht="15" customHeight="1" x14ac:dyDescent="0.25">
      <c r="A28" s="1"/>
      <c r="B28" s="89" t="s">
        <v>161</v>
      </c>
      <c r="C28" s="72">
        <f>-C26*('Fane 15. Nøgletal'!C33+'Fane 5. Individuelt eff. krav'!G9)</f>
        <v>0</v>
      </c>
      <c r="D28" s="8" t="s">
        <v>3</v>
      </c>
      <c r="E28" s="1"/>
    </row>
    <row r="29" spans="1:5" ht="15" customHeight="1" x14ac:dyDescent="0.25">
      <c r="A29" s="1"/>
      <c r="B29" s="89" t="s">
        <v>162</v>
      </c>
      <c r="C29" s="72">
        <f>-C27*('Fane 15. Nøgletal'!C28+'Fane 5. Individuelt eff. krav'!G9)</f>
        <v>0</v>
      </c>
      <c r="D29" s="8" t="s">
        <v>3</v>
      </c>
      <c r="E29" s="1"/>
    </row>
    <row r="30" spans="1:5" ht="15" customHeight="1" x14ac:dyDescent="0.25">
      <c r="A30" s="1"/>
      <c r="B30" s="69"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-6213403</v>
      </c>
      <c r="D32" s="11" t="s">
        <v>3</v>
      </c>
      <c r="E32" s="1"/>
    </row>
    <row r="33" spans="1:5" ht="15" customHeight="1" x14ac:dyDescent="0.25">
      <c r="A33" s="1"/>
      <c r="B33" s="33" t="s">
        <v>200</v>
      </c>
      <c r="C33" s="28"/>
      <c r="D33" s="19"/>
      <c r="E33" s="1"/>
    </row>
    <row r="34" spans="1:5" x14ac:dyDescent="0.25">
      <c r="A34" s="1"/>
      <c r="B34" s="31" t="s">
        <v>200</v>
      </c>
      <c r="C34" s="10">
        <f>'Fane 9. Korrektion af ØR2022'!E17</f>
        <v>1167164.17</v>
      </c>
      <c r="D34" s="11" t="s">
        <v>3</v>
      </c>
      <c r="E34" s="1"/>
    </row>
    <row r="35" spans="1:5" x14ac:dyDescent="0.25">
      <c r="A35" s="1"/>
      <c r="B35" s="30" t="s">
        <v>135</v>
      </c>
      <c r="C35" s="28"/>
      <c r="D35" s="19"/>
      <c r="E35" s="1"/>
    </row>
    <row r="36" spans="1:5" x14ac:dyDescent="0.25">
      <c r="A36" s="1"/>
      <c r="B36" s="69" t="s">
        <v>136</v>
      </c>
      <c r="C36" s="10">
        <f>'Fane 8. Skattesagen'!G13</f>
        <v>0</v>
      </c>
      <c r="D36" s="11" t="s">
        <v>3</v>
      </c>
      <c r="E36" s="1"/>
    </row>
    <row r="37" spans="1:5" x14ac:dyDescent="0.25">
      <c r="A37" s="1"/>
      <c r="B37" s="30" t="s">
        <v>291</v>
      </c>
      <c r="C37" s="28"/>
      <c r="D37" s="19"/>
      <c r="E37" s="1"/>
    </row>
    <row r="38" spans="1:5" x14ac:dyDescent="0.25">
      <c r="A38" s="1"/>
      <c r="B38" s="69" t="s">
        <v>292</v>
      </c>
      <c r="C38" s="10">
        <v>3200800.6667713169</v>
      </c>
      <c r="D38" s="11" t="s">
        <v>3</v>
      </c>
      <c r="E38" s="1"/>
    </row>
    <row r="39" spans="1:5" x14ac:dyDescent="0.25">
      <c r="A39" s="1"/>
      <c r="B39" s="33" t="s">
        <v>108</v>
      </c>
      <c r="C39" s="49">
        <f>SUM(C34,C32,C24,C30,C22,C20,C36,C38)</f>
        <v>109811467.73064214</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dR29ERmJLyBn7vzb9iAFp4v6lBSSd3a+nDgZ9RKCa81y2bgWXwfjxVR6HNyw22CLXj9eXe/Fh00GtWEqCL6hcw==" saltValue="Zyx1IhWqrfnhuWePxg1xk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2" t="s">
        <v>94</v>
      </c>
      <c r="C9" s="25">
        <v>1.2699999999999999E-2</v>
      </c>
      <c r="D9" s="1"/>
    </row>
    <row r="10" spans="1:4" x14ac:dyDescent="0.25">
      <c r="A10" s="1"/>
      <c r="B10" s="82" t="s">
        <v>95</v>
      </c>
      <c r="C10" s="25">
        <v>1.7500000000000002E-2</v>
      </c>
      <c r="D10" s="1"/>
    </row>
    <row r="11" spans="1:4" x14ac:dyDescent="0.25">
      <c r="A11" s="1"/>
      <c r="B11" s="82"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2"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2" t="s">
        <v>96</v>
      </c>
      <c r="C21" s="22">
        <v>9.1000000000000004E-3</v>
      </c>
      <c r="D21" s="1"/>
    </row>
    <row r="22" spans="1:4" x14ac:dyDescent="0.25">
      <c r="A22" s="1"/>
      <c r="B22" s="82" t="s">
        <v>118</v>
      </c>
      <c r="C22" s="22">
        <v>1.77E-2</v>
      </c>
      <c r="D22" s="1"/>
    </row>
    <row r="23" spans="1:4" x14ac:dyDescent="0.25">
      <c r="A23" s="1"/>
      <c r="B23" s="82" t="s">
        <v>119</v>
      </c>
      <c r="C23" s="22">
        <v>8.6999999999999994E-3</v>
      </c>
      <c r="D23" s="1"/>
    </row>
    <row r="24" spans="1:4" x14ac:dyDescent="0.25">
      <c r="A24" s="1"/>
      <c r="B24" s="82" t="s">
        <v>97</v>
      </c>
      <c r="C24" s="36">
        <v>2.8400000000000002E-2</v>
      </c>
      <c r="D24" s="1"/>
    </row>
    <row r="25" spans="1:4" x14ac:dyDescent="0.25">
      <c r="A25" s="1"/>
      <c r="B25" s="82" t="s">
        <v>120</v>
      </c>
      <c r="C25" s="36">
        <v>2.75E-2</v>
      </c>
      <c r="D25" s="1"/>
    </row>
    <row r="26" spans="1:4" x14ac:dyDescent="0.25">
      <c r="A26" s="1"/>
      <c r="B26" s="82"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2"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178Y92Xya6NR0DqefxBMIW1QkyYQpPfgVRRgprS8RdsTwmuHa4NKokxplbFmrLeUuXYd3NrwLg+ynh9IOguSiQ==" saltValue="Q8yti1ICRZ2lxahrAuIP2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108515106.01136196</v>
      </c>
      <c r="D9" s="8" t="s">
        <v>3</v>
      </c>
      <c r="E9" s="1"/>
    </row>
    <row r="10" spans="1:5" ht="15" customHeight="1" x14ac:dyDescent="0.25">
      <c r="A10" s="1"/>
      <c r="B10" s="26" t="s">
        <v>19</v>
      </c>
      <c r="C10" s="7">
        <f>SUM(C9:C9)*'Fane 15. Nøgletal'!C16</f>
        <v>8768020.5657180455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-778859.21979090793</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116504267.35728909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2820285.8350060368</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575371.4780095343</v>
      </c>
      <c r="D18" s="11" t="s">
        <v>3</v>
      </c>
      <c r="E18" s="1"/>
    </row>
    <row r="19" spans="1:5" x14ac:dyDescent="0.25">
      <c r="A19" s="1"/>
      <c r="B19" s="33" t="s">
        <v>116</v>
      </c>
      <c r="C19" s="28"/>
      <c r="D19" s="19"/>
      <c r="E19" s="1"/>
    </row>
    <row r="20" spans="1:5" ht="15" customHeight="1" x14ac:dyDescent="0.25">
      <c r="A20" s="1"/>
      <c r="B20" s="31" t="s">
        <v>138</v>
      </c>
      <c r="C20" s="10">
        <f>'Fane 7. Kontrol af ØR2022'!E31</f>
        <v>-6213403</v>
      </c>
      <c r="D20" s="11" t="s">
        <v>3</v>
      </c>
      <c r="E20" s="1"/>
    </row>
    <row r="21" spans="1:5" x14ac:dyDescent="0.25">
      <c r="A21" s="1"/>
      <c r="B21" s="30" t="s">
        <v>135</v>
      </c>
      <c r="C21" s="28"/>
      <c r="D21" s="19"/>
      <c r="E21" s="1"/>
    </row>
    <row r="22" spans="1:5" x14ac:dyDescent="0.25">
      <c r="A22" s="1"/>
      <c r="B22" s="69" t="s">
        <v>136</v>
      </c>
      <c r="C22" s="10">
        <f>'Fane 8. Skattesagen'!G14</f>
        <v>0</v>
      </c>
      <c r="D22" s="11" t="s">
        <v>3</v>
      </c>
      <c r="E22" s="1"/>
    </row>
    <row r="23" spans="1:5" x14ac:dyDescent="0.25">
      <c r="A23" s="1"/>
      <c r="B23" s="33" t="s">
        <v>122</v>
      </c>
      <c r="C23" s="12">
        <f>SUM(C14,C16,C18,C20,C22)</f>
        <v>113686521.67030467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NfWgvsh21TbmpIt9QBNtu2HWIgcF3AVCOIYeiJm7gAQXMqpcwf6B7wVF7KdEG8bKotNdu8HPtZ8DxR7EK0oQA==" saltValue="pNnu5D0fghww1+35SReVY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116504267.35728909</v>
      </c>
      <c r="D9" s="8" t="s">
        <v>3</v>
      </c>
      <c r="E9" s="1"/>
    </row>
    <row r="10" spans="1:5" ht="15" customHeight="1" x14ac:dyDescent="0.25">
      <c r="A10" s="1"/>
      <c r="B10" s="26" t="s">
        <v>19</v>
      </c>
      <c r="C10" s="7">
        <f>SUM(C9:C9)*'Fane 15. Nøgletal'!C16</f>
        <v>9413544.8024689574</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-824955.22385501314</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125092856.93590303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3048164.9304745249</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621861.49343270459</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9" t="s">
        <v>136</v>
      </c>
      <c r="C22" s="10">
        <f>'Fane 8. Skattesagen'!G15</f>
        <v>0</v>
      </c>
      <c r="D22" s="11" t="s">
        <v>3</v>
      </c>
      <c r="E22" s="1"/>
    </row>
    <row r="23" spans="1:5" x14ac:dyDescent="0.25">
      <c r="A23" s="1"/>
      <c r="B23" s="33" t="s">
        <v>140</v>
      </c>
      <c r="C23" s="12">
        <f>SUM(C14,C16,C18,C20,C22)</f>
        <v>128762883.35981025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V6LPSBrrqkD0Vv5VXSjHZ2RMZisa+tBBc3lXTmKoVmGGF42byP6pUZIMm2F+IVHYpBTxWu20BzQNRv/0fJY5g==" saltValue="HJLeOTUtyrQ69egoN7cma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4"/>
      <c r="C6" s="74"/>
      <c r="D6" s="74"/>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125092856.93590303</v>
      </c>
      <c r="D9" s="8" t="s">
        <v>3</v>
      </c>
      <c r="E9" s="1"/>
      <c r="F9" s="1"/>
    </row>
    <row r="10" spans="1:6" ht="15" customHeight="1" x14ac:dyDescent="0.25">
      <c r="A10" s="1"/>
      <c r="B10" s="26" t="s">
        <v>19</v>
      </c>
      <c r="C10" s="7">
        <f>SUM(C9:C9)*'Fane 15. Nøgletal'!C16</f>
        <v>10107502.840420965</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-873779.37382364832</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134326580.40250036</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3294456.6568568661</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672107.90210206714</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9" t="s">
        <v>136</v>
      </c>
      <c r="C22" s="10">
        <f>'Fane 8. Skattesagen'!G16</f>
        <v>0</v>
      </c>
      <c r="D22" s="11" t="s">
        <v>3</v>
      </c>
      <c r="E22" s="1"/>
      <c r="F22" s="1"/>
    </row>
    <row r="23" spans="1:6" x14ac:dyDescent="0.25">
      <c r="A23" s="1"/>
      <c r="B23" s="33" t="s">
        <v>209</v>
      </c>
      <c r="C23" s="12">
        <f>SUM(C14,C16,C18,C20,C22)</f>
        <v>138293144.96145928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PkpOJhb7v3JYJ8+lfkjcUO9c0l1uR0O9c9PVdt4q0XsXncNf1OhxiVbKVi78psToMJX8FUqZ7lBPQtgjbxs48A==" saltValue="Shg+4IC/YAwO7KYF7u9Q7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94386586.940037683</v>
      </c>
      <c r="D9" s="8" t="s">
        <v>3</v>
      </c>
      <c r="E9" s="1"/>
    </row>
    <row r="10" spans="1:5" x14ac:dyDescent="0.25">
      <c r="A10" s="1"/>
      <c r="B10" s="89" t="s">
        <v>36</v>
      </c>
      <c r="C10" s="7">
        <v>0</v>
      </c>
      <c r="D10" s="8" t="s">
        <v>3</v>
      </c>
      <c r="E10" s="1"/>
    </row>
    <row r="11" spans="1:5" x14ac:dyDescent="0.25">
      <c r="A11" s="1"/>
      <c r="B11" s="89" t="s">
        <v>37</v>
      </c>
      <c r="C11" s="9">
        <v>0</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1">
        <v>311475.73690212436</v>
      </c>
      <c r="D16" s="8" t="s">
        <v>3</v>
      </c>
      <c r="E16" s="1"/>
    </row>
    <row r="17" spans="1:5" x14ac:dyDescent="0.25">
      <c r="A17" s="1"/>
      <c r="B17" s="89" t="s">
        <v>10</v>
      </c>
      <c r="C17" s="41">
        <v>0</v>
      </c>
      <c r="D17" s="8" t="s">
        <v>3</v>
      </c>
      <c r="E17" s="1"/>
    </row>
    <row r="18" spans="1:5" x14ac:dyDescent="0.25">
      <c r="A18" s="1"/>
      <c r="B18" s="89" t="s">
        <v>23</v>
      </c>
      <c r="C18" s="41">
        <v>-609148.85276653862</v>
      </c>
      <c r="D18" s="8" t="s">
        <v>3</v>
      </c>
      <c r="E18" s="1"/>
    </row>
    <row r="19" spans="1:5" x14ac:dyDescent="0.25">
      <c r="A19" s="1"/>
      <c r="B19" s="89" t="s">
        <v>24</v>
      </c>
      <c r="C19" s="41">
        <v>-979489.47484624758</v>
      </c>
      <c r="D19" s="8" t="s">
        <v>3</v>
      </c>
      <c r="E19" s="47"/>
    </row>
    <row r="20" spans="1:5" x14ac:dyDescent="0.25">
      <c r="A20" s="1"/>
      <c r="B20" s="83" t="s">
        <v>21</v>
      </c>
      <c r="C20" s="10">
        <v>93109424.349327013</v>
      </c>
      <c r="D20" s="11" t="s">
        <v>3</v>
      </c>
      <c r="E20" s="1"/>
    </row>
    <row r="21" spans="1:5" x14ac:dyDescent="0.25">
      <c r="A21" s="1"/>
      <c r="B21" s="33" t="s">
        <v>12</v>
      </c>
      <c r="C21" s="28"/>
      <c r="D21" s="19"/>
      <c r="E21" s="1"/>
    </row>
    <row r="22" spans="1:5" x14ac:dyDescent="0.25">
      <c r="A22" s="1"/>
      <c r="B22" s="31" t="s">
        <v>12</v>
      </c>
      <c r="C22" s="10">
        <v>1940992.1818876802</v>
      </c>
      <c r="D22" s="11" t="s">
        <v>3</v>
      </c>
      <c r="E22" s="1"/>
    </row>
    <row r="23" spans="1:5" x14ac:dyDescent="0.25">
      <c r="A23" s="1"/>
      <c r="B23" s="33" t="s">
        <v>74</v>
      </c>
      <c r="C23" s="28"/>
      <c r="D23" s="19"/>
      <c r="E23" s="1"/>
    </row>
    <row r="24" spans="1:5" x14ac:dyDescent="0.25">
      <c r="A24" s="1"/>
      <c r="B24" s="83" t="s">
        <v>74</v>
      </c>
      <c r="C24" s="10">
        <v>487153.23706799687</v>
      </c>
      <c r="D24" s="11" t="s">
        <v>3</v>
      </c>
      <c r="E24" s="1"/>
    </row>
    <row r="25" spans="1:5" x14ac:dyDescent="0.25">
      <c r="A25" s="1"/>
      <c r="B25" s="44" t="s">
        <v>73</v>
      </c>
      <c r="C25" s="42"/>
      <c r="D25" s="43"/>
      <c r="E25" s="1"/>
    </row>
    <row r="26" spans="1:5" x14ac:dyDescent="0.25">
      <c r="A26" s="1"/>
      <c r="B26" s="89" t="s">
        <v>158</v>
      </c>
      <c r="C26" s="70">
        <v>0</v>
      </c>
      <c r="D26" s="8" t="s">
        <v>3</v>
      </c>
      <c r="E26" s="1"/>
    </row>
    <row r="27" spans="1:5" x14ac:dyDescent="0.25">
      <c r="A27" s="1"/>
      <c r="B27" s="89" t="s">
        <v>70</v>
      </c>
      <c r="C27" s="70">
        <v>0</v>
      </c>
      <c r="D27" s="8" t="s">
        <v>3</v>
      </c>
      <c r="E27" s="1"/>
    </row>
    <row r="28" spans="1:5" x14ac:dyDescent="0.25">
      <c r="A28" s="1"/>
      <c r="B28" s="89" t="s">
        <v>161</v>
      </c>
      <c r="C28" s="70">
        <v>0</v>
      </c>
      <c r="D28" s="8" t="s">
        <v>3</v>
      </c>
      <c r="E28" s="1"/>
    </row>
    <row r="29" spans="1:5" x14ac:dyDescent="0.25">
      <c r="A29" s="1"/>
      <c r="B29" s="89" t="s">
        <v>162</v>
      </c>
      <c r="C29" s="70">
        <v>0</v>
      </c>
      <c r="D29" s="8" t="s">
        <v>3</v>
      </c>
      <c r="E29" s="1"/>
    </row>
    <row r="30" spans="1:5" x14ac:dyDescent="0.25">
      <c r="A30" s="1"/>
      <c r="B30" s="69"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-1383251.7006477269</v>
      </c>
      <c r="D34" s="11" t="s">
        <v>3</v>
      </c>
      <c r="E34" s="1"/>
    </row>
    <row r="35" spans="1:5" x14ac:dyDescent="0.25">
      <c r="A35" s="1"/>
      <c r="B35" s="30" t="s">
        <v>135</v>
      </c>
      <c r="C35" s="28"/>
      <c r="D35" s="19"/>
      <c r="E35" s="1"/>
    </row>
    <row r="36" spans="1:5" x14ac:dyDescent="0.25">
      <c r="A36" s="1"/>
      <c r="B36" s="69" t="s">
        <v>136</v>
      </c>
      <c r="C36" s="10">
        <v>0</v>
      </c>
      <c r="D36" s="11" t="s">
        <v>3</v>
      </c>
      <c r="E36" s="1"/>
    </row>
    <row r="37" spans="1:5" x14ac:dyDescent="0.25">
      <c r="A37" s="1"/>
      <c r="B37" s="33" t="s">
        <v>267</v>
      </c>
      <c r="C37" s="49">
        <v>94154318.06763497</v>
      </c>
      <c r="D37" s="30" t="s">
        <v>3</v>
      </c>
      <c r="E37" s="1"/>
    </row>
    <row r="38" spans="1:5" ht="30" customHeight="1" x14ac:dyDescent="0.25">
      <c r="A38" s="1"/>
      <c r="B38" s="114" t="s">
        <v>268</v>
      </c>
      <c r="C38" s="114"/>
      <c r="D38" s="114"/>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OHiMCN36mPyBS+qpV29TShXRlQbwNtm6Icba5Djv/o7gchFh50QEwLBHv02fhjeZBaHVB6BGjpdKEQq+p3ICQ==" saltValue="STJO5H+RBupdrLcPf1sf7g=="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70" zoomScaleNormal="100" zoomScalePageLayoutView="7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8" t="s">
        <v>46</v>
      </c>
      <c r="C4" s="119"/>
      <c r="D4" s="119"/>
      <c r="E4" s="119"/>
      <c r="F4" s="119"/>
      <c r="G4" s="119"/>
      <c r="H4" s="120"/>
      <c r="I4" s="1"/>
    </row>
    <row r="5" spans="1:9" x14ac:dyDescent="0.25">
      <c r="A5" s="1"/>
      <c r="B5" s="121" t="s">
        <v>38</v>
      </c>
      <c r="C5" s="122"/>
      <c r="D5" s="122"/>
      <c r="E5" s="122"/>
      <c r="F5" s="123"/>
      <c r="G5" s="63">
        <v>31411795.835707571</v>
      </c>
      <c r="H5" s="14" t="s">
        <v>3</v>
      </c>
      <c r="I5" s="1"/>
    </row>
    <row r="6" spans="1:9" x14ac:dyDescent="0.25">
      <c r="A6" s="1"/>
      <c r="B6" s="115" t="s">
        <v>102</v>
      </c>
      <c r="C6" s="116"/>
      <c r="D6" s="116"/>
      <c r="E6" s="116"/>
      <c r="F6" s="117"/>
      <c r="G6" s="66">
        <v>962065</v>
      </c>
      <c r="H6" s="14" t="s">
        <v>3</v>
      </c>
      <c r="I6" s="1"/>
    </row>
    <row r="7" spans="1:9" x14ac:dyDescent="0.25">
      <c r="A7" s="1"/>
      <c r="B7" s="121" t="s">
        <v>39</v>
      </c>
      <c r="C7" s="122"/>
      <c r="D7" s="122"/>
      <c r="E7" s="122"/>
      <c r="F7" s="123"/>
      <c r="G7" s="23">
        <f>SUM(G5:G6)*'Fane 15. Nøgletal'!C33</f>
        <v>647477.21671415144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8" t="s">
        <v>47</v>
      </c>
      <c r="C10" s="119"/>
      <c r="D10" s="119"/>
      <c r="E10" s="119"/>
      <c r="F10" s="119"/>
      <c r="G10" s="119"/>
      <c r="H10" s="120"/>
      <c r="I10" s="1"/>
    </row>
    <row r="11" spans="1:9" x14ac:dyDescent="0.25">
      <c r="A11" s="1"/>
      <c r="B11" s="121" t="s">
        <v>40</v>
      </c>
      <c r="C11" s="122"/>
      <c r="D11" s="122"/>
      <c r="E11" s="122"/>
      <c r="F11" s="123"/>
      <c r="G11" s="23">
        <f>(G5-G7)*(1+'Fane 15. Nøgletal'!C10)</f>
        <v>31302694.194825806</v>
      </c>
      <c r="H11" s="14" t="s">
        <v>3</v>
      </c>
      <c r="I11" s="1"/>
    </row>
    <row r="12" spans="1:9" ht="15" customHeight="1" x14ac:dyDescent="0.25">
      <c r="A12" s="1"/>
      <c r="B12" s="121" t="s">
        <v>103</v>
      </c>
      <c r="C12" s="122"/>
      <c r="D12" s="122"/>
      <c r="E12" s="122"/>
      <c r="F12" s="123"/>
      <c r="G12" s="66">
        <v>347830.02632941125</v>
      </c>
      <c r="H12" s="14" t="s">
        <v>3</v>
      </c>
      <c r="I12" s="1"/>
    </row>
    <row r="13" spans="1:9" x14ac:dyDescent="0.25">
      <c r="A13" s="1"/>
      <c r="B13" s="115" t="s">
        <v>100</v>
      </c>
      <c r="C13" s="116"/>
      <c r="D13" s="116"/>
      <c r="E13" s="116"/>
      <c r="F13" s="117"/>
      <c r="G13" s="66">
        <v>566732.23750000005</v>
      </c>
      <c r="H13" s="14" t="s">
        <v>3</v>
      </c>
      <c r="I13" s="1"/>
    </row>
    <row r="14" spans="1:9" x14ac:dyDescent="0.25">
      <c r="A14" s="1"/>
      <c r="B14" s="124" t="s">
        <v>244</v>
      </c>
      <c r="C14" s="125"/>
      <c r="D14" s="125"/>
      <c r="E14" s="125"/>
      <c r="F14" s="126"/>
      <c r="G14" s="66">
        <v>0</v>
      </c>
      <c r="H14" s="14" t="s">
        <v>3</v>
      </c>
      <c r="I14" s="1"/>
    </row>
    <row r="15" spans="1:9" x14ac:dyDescent="0.25">
      <c r="A15" s="1"/>
      <c r="B15" s="121" t="s">
        <v>41</v>
      </c>
      <c r="C15" s="122"/>
      <c r="D15" s="122"/>
      <c r="E15" s="122"/>
      <c r="F15" s="123"/>
      <c r="G15" s="23">
        <f>SUM(G11:G14)*'Fane 15. Nøgletal'!C33</f>
        <v>644345.12917310442</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8" t="s">
        <v>48</v>
      </c>
      <c r="C18" s="119"/>
      <c r="D18" s="119"/>
      <c r="E18" s="119"/>
      <c r="F18" s="119"/>
      <c r="G18" s="119"/>
      <c r="H18" s="120"/>
      <c r="I18" s="1"/>
    </row>
    <row r="19" spans="1:9" x14ac:dyDescent="0.25">
      <c r="A19" s="1"/>
      <c r="B19" s="121" t="s">
        <v>42</v>
      </c>
      <c r="C19" s="122"/>
      <c r="D19" s="122"/>
      <c r="E19" s="122"/>
      <c r="F19" s="123"/>
      <c r="G19" s="23">
        <f>(SUM(G11:G12,G14)-(G15))*(1+'Fane 15. Nøgletal'!C10)</f>
        <v>31548787.226091806</v>
      </c>
      <c r="H19" s="14" t="s">
        <v>3</v>
      </c>
      <c r="I19" s="1"/>
    </row>
    <row r="20" spans="1:9" x14ac:dyDescent="0.25">
      <c r="A20" s="1"/>
      <c r="B20" s="124" t="s">
        <v>245</v>
      </c>
      <c r="C20" s="125"/>
      <c r="D20" s="125"/>
      <c r="E20" s="125"/>
      <c r="F20" s="126"/>
      <c r="G20" s="66">
        <v>0</v>
      </c>
      <c r="H20" s="14" t="s">
        <v>3</v>
      </c>
      <c r="I20" s="1"/>
    </row>
    <row r="21" spans="1:9" x14ac:dyDescent="0.25">
      <c r="A21" s="1"/>
      <c r="B21" s="121" t="s">
        <v>43</v>
      </c>
      <c r="C21" s="122"/>
      <c r="D21" s="122"/>
      <c r="E21" s="122"/>
      <c r="F21" s="123"/>
      <c r="G21" s="23">
        <f>SUM(G19:G20)*'Fane 15. Nøgletal'!C33</f>
        <v>630975.74452183617</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8" t="s">
        <v>49</v>
      </c>
      <c r="C24" s="119"/>
      <c r="D24" s="119"/>
      <c r="E24" s="119"/>
      <c r="F24" s="119"/>
      <c r="G24" s="119"/>
      <c r="H24" s="120"/>
      <c r="I24" s="1"/>
    </row>
    <row r="25" spans="1:9" x14ac:dyDescent="0.25">
      <c r="A25" s="1"/>
      <c r="B25" s="121" t="s">
        <v>44</v>
      </c>
      <c r="C25" s="122"/>
      <c r="D25" s="122"/>
      <c r="E25" s="122"/>
      <c r="F25" s="123"/>
      <c r="G25" s="23">
        <f>(G19+G20-G21)*(1+'Fane 15. Nøgletal'!C12)</f>
        <v>31526892.367756899</v>
      </c>
      <c r="H25" s="14" t="s">
        <v>3</v>
      </c>
      <c r="I25" s="1"/>
    </row>
    <row r="26" spans="1:9" x14ac:dyDescent="0.25">
      <c r="A26" s="1"/>
      <c r="B26" s="124" t="s">
        <v>246</v>
      </c>
      <c r="C26" s="125"/>
      <c r="D26" s="125"/>
      <c r="E26" s="125"/>
      <c r="F26" s="126"/>
      <c r="G26" s="66">
        <v>0</v>
      </c>
      <c r="H26" s="14" t="s">
        <v>3</v>
      </c>
      <c r="I26" s="1"/>
    </row>
    <row r="27" spans="1:9" x14ac:dyDescent="0.25">
      <c r="A27" s="1"/>
      <c r="B27" s="121" t="s">
        <v>45</v>
      </c>
      <c r="C27" s="122"/>
      <c r="D27" s="122"/>
      <c r="E27" s="122"/>
      <c r="F27" s="123"/>
      <c r="G27" s="23">
        <f>(G25+G26)*'Fane 15. Nøgletal'!C33</f>
        <v>630537.84735513804</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8" t="s">
        <v>52</v>
      </c>
      <c r="C30" s="119"/>
      <c r="D30" s="119"/>
      <c r="E30" s="119"/>
      <c r="F30" s="119"/>
      <c r="G30" s="119"/>
      <c r="H30" s="120"/>
      <c r="I30" s="1"/>
    </row>
    <row r="31" spans="1:9" x14ac:dyDescent="0.25">
      <c r="A31" s="1"/>
      <c r="B31" s="121" t="s">
        <v>53</v>
      </c>
      <c r="C31" s="122"/>
      <c r="D31" s="122"/>
      <c r="E31" s="122"/>
      <c r="F31" s="123"/>
      <c r="G31" s="23">
        <f>(G25+G26-G27)*(1+'Fane 15. Nøgletal'!C12)</f>
        <v>31505012.704453677</v>
      </c>
      <c r="H31" s="14" t="s">
        <v>3</v>
      </c>
      <c r="I31" s="1"/>
    </row>
    <row r="32" spans="1:9" x14ac:dyDescent="0.25">
      <c r="A32" s="1"/>
      <c r="B32" s="121" t="s">
        <v>243</v>
      </c>
      <c r="C32" s="122"/>
      <c r="D32" s="122"/>
      <c r="E32" s="122"/>
      <c r="F32" s="123"/>
      <c r="G32" s="66">
        <v>0</v>
      </c>
      <c r="H32" s="14" t="s">
        <v>3</v>
      </c>
      <c r="I32" s="1"/>
    </row>
    <row r="33" spans="1:9" x14ac:dyDescent="0.25">
      <c r="A33" s="1"/>
      <c r="B33" s="121" t="s">
        <v>54</v>
      </c>
      <c r="C33" s="122"/>
      <c r="D33" s="122"/>
      <c r="E33" s="122"/>
      <c r="F33" s="123"/>
      <c r="G33" s="23">
        <f>(G31+G32)*'Fane 15. Nøgletal'!C33</f>
        <v>630100.25408907351</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8" t="s">
        <v>126</v>
      </c>
      <c r="C36" s="119"/>
      <c r="D36" s="119"/>
      <c r="E36" s="119"/>
      <c r="F36" s="119"/>
      <c r="G36" s="119"/>
      <c r="H36" s="120"/>
      <c r="I36" s="1"/>
    </row>
    <row r="37" spans="1:9" x14ac:dyDescent="0.25">
      <c r="A37" s="1"/>
      <c r="B37" s="121" t="s">
        <v>68</v>
      </c>
      <c r="C37" s="122"/>
      <c r="D37" s="122"/>
      <c r="E37" s="122"/>
      <c r="F37" s="123"/>
      <c r="G37" s="23">
        <f>(G31+G32-G33)*(1+'Fane 15. Nøgletal'!C14)</f>
        <v>30976799.661450811</v>
      </c>
      <c r="H37" s="14" t="s">
        <v>3</v>
      </c>
      <c r="I37" s="1"/>
    </row>
    <row r="38" spans="1:9" x14ac:dyDescent="0.25">
      <c r="A38" s="1"/>
      <c r="B38" s="121" t="s">
        <v>242</v>
      </c>
      <c r="C38" s="122"/>
      <c r="D38" s="122"/>
      <c r="E38" s="122"/>
      <c r="F38" s="123"/>
      <c r="G38" s="63">
        <v>0</v>
      </c>
      <c r="H38" s="14" t="s">
        <v>3</v>
      </c>
      <c r="I38" s="1"/>
    </row>
    <row r="39" spans="1:9" x14ac:dyDescent="0.25">
      <c r="A39" s="1"/>
      <c r="B39" s="121" t="s">
        <v>128</v>
      </c>
      <c r="C39" s="122"/>
      <c r="D39" s="122"/>
      <c r="E39" s="122"/>
      <c r="F39" s="123"/>
      <c r="G39" s="23">
        <f>(G37+G38)*'Fane 15. Nøgletal'!C33</f>
        <v>619535.9932290162</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8" t="s">
        <v>127</v>
      </c>
      <c r="C42" s="119"/>
      <c r="D42" s="119"/>
      <c r="E42" s="119"/>
      <c r="F42" s="119"/>
      <c r="G42" s="119"/>
      <c r="H42" s="120"/>
      <c r="I42" s="1"/>
    </row>
    <row r="43" spans="1:9" x14ac:dyDescent="0.25">
      <c r="A43" s="1"/>
      <c r="B43" s="121" t="s">
        <v>155</v>
      </c>
      <c r="C43" s="122"/>
      <c r="D43" s="122"/>
      <c r="E43" s="122"/>
      <c r="F43" s="123"/>
      <c r="G43" s="23">
        <f>(G37+G38-G39)*(1+'Fane 15. Nøgletal'!C14)</f>
        <v>30457442.638326928</v>
      </c>
      <c r="H43" s="14" t="s">
        <v>3</v>
      </c>
      <c r="I43" s="1"/>
    </row>
    <row r="44" spans="1:9" x14ac:dyDescent="0.25">
      <c r="A44" s="1"/>
      <c r="B44" s="127" t="s">
        <v>157</v>
      </c>
      <c r="C44" s="128"/>
      <c r="D44" s="128"/>
      <c r="E44" s="128"/>
      <c r="F44" s="129"/>
      <c r="G44" s="63">
        <v>0</v>
      </c>
      <c r="H44" s="14" t="s">
        <v>3</v>
      </c>
      <c r="I44" s="1"/>
    </row>
    <row r="45" spans="1:9" x14ac:dyDescent="0.25">
      <c r="A45" s="1"/>
      <c r="B45" s="121" t="s">
        <v>129</v>
      </c>
      <c r="C45" s="122"/>
      <c r="D45" s="122"/>
      <c r="E45" s="122"/>
      <c r="F45" s="123"/>
      <c r="G45" s="23">
        <f>SUM(G43:G44)*'Fane 15. Nøgletal'!C33</f>
        <v>609148.85276653862</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8" t="s">
        <v>192</v>
      </c>
      <c r="C51" s="119"/>
      <c r="D51" s="119"/>
      <c r="E51" s="119"/>
      <c r="F51" s="119"/>
      <c r="G51" s="119"/>
      <c r="H51" s="120"/>
      <c r="I51" s="1"/>
    </row>
    <row r="52" spans="1:9" x14ac:dyDescent="0.25">
      <c r="A52" s="1"/>
      <c r="B52" s="121" t="s">
        <v>154</v>
      </c>
      <c r="C52" s="122"/>
      <c r="D52" s="122"/>
      <c r="E52" s="122"/>
      <c r="F52" s="123"/>
      <c r="G52" s="23">
        <f>(G43+G44-G45)*(1+'Fane 15. Nøgletal'!C16)</f>
        <v>32260035.923433665</v>
      </c>
      <c r="H52" s="14" t="s">
        <v>3</v>
      </c>
      <c r="I52" s="1"/>
    </row>
    <row r="53" spans="1:9" x14ac:dyDescent="0.25">
      <c r="A53" s="1"/>
      <c r="B53" s="79" t="s">
        <v>194</v>
      </c>
      <c r="C53" s="80"/>
      <c r="D53" s="80"/>
      <c r="E53" s="80"/>
      <c r="F53" s="81"/>
      <c r="G53" s="23">
        <f>('Fane 2.1. Økonomisk ramme 2024'!C10+'Fane 2.1. Økonomisk ramme 2024'!C12+'Fane 2.1. Økonomisk ramme 2024'!C14)*(1+'Fane 15. Nøgletal'!C16)</f>
        <v>4506910.1308358395</v>
      </c>
      <c r="H53" s="14" t="s">
        <v>3</v>
      </c>
      <c r="I53" s="1"/>
    </row>
    <row r="54" spans="1:9" x14ac:dyDescent="0.25">
      <c r="A54" s="1"/>
      <c r="B54" s="121" t="s">
        <v>210</v>
      </c>
      <c r="C54" s="122"/>
      <c r="D54" s="122"/>
      <c r="E54" s="122"/>
      <c r="F54" s="123"/>
      <c r="G54" s="23">
        <f>(G52)*'Fane 15. Nøgletal'!C33+(G53)*'Fane 15. Nøgletal'!C33</f>
        <v>735338.92108539003</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8" t="s">
        <v>193</v>
      </c>
      <c r="C57" s="119"/>
      <c r="D57" s="119"/>
      <c r="E57" s="119"/>
      <c r="F57" s="119"/>
      <c r="G57" s="119"/>
      <c r="H57" s="120"/>
      <c r="I57" s="1"/>
    </row>
    <row r="58" spans="1:9" x14ac:dyDescent="0.25">
      <c r="A58" s="1"/>
      <c r="B58" s="79" t="s">
        <v>212</v>
      </c>
      <c r="C58" s="80"/>
      <c r="D58" s="80"/>
      <c r="E58" s="80"/>
      <c r="F58" s="81"/>
      <c r="G58" s="23">
        <f>(G52+G53-G54)*(1+'Fane 15. Nøgletal'!C16)</f>
        <v>38942960.989545397</v>
      </c>
      <c r="H58" s="14" t="s">
        <v>3</v>
      </c>
      <c r="I58" s="1"/>
    </row>
    <row r="59" spans="1:9" x14ac:dyDescent="0.25">
      <c r="A59" s="1"/>
      <c r="B59" s="79" t="s">
        <v>211</v>
      </c>
      <c r="C59" s="80"/>
      <c r="D59" s="80"/>
      <c r="E59" s="80"/>
      <c r="F59" s="81"/>
      <c r="G59" s="23">
        <f>(G58)*'Fane 15. Nøgletal'!C33</f>
        <v>778859.21979090793</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8" t="s">
        <v>256</v>
      </c>
      <c r="C62" s="119"/>
      <c r="D62" s="119"/>
      <c r="E62" s="119"/>
      <c r="F62" s="119"/>
      <c r="G62" s="119"/>
      <c r="H62" s="120"/>
      <c r="I62" s="1"/>
    </row>
    <row r="63" spans="1:9" x14ac:dyDescent="0.25">
      <c r="A63" s="1"/>
      <c r="B63" s="79" t="s">
        <v>213</v>
      </c>
      <c r="C63" s="80"/>
      <c r="D63" s="80"/>
      <c r="E63" s="80"/>
      <c r="F63" s="81"/>
      <c r="G63" s="23">
        <f>(G58-G59)*(1+'Fane 15. Nøgletal'!C16)</f>
        <v>41247761.192750655</v>
      </c>
      <c r="H63" s="14" t="s">
        <v>3</v>
      </c>
      <c r="I63" s="1"/>
    </row>
    <row r="64" spans="1:9" x14ac:dyDescent="0.25">
      <c r="A64" s="1"/>
      <c r="B64" s="79" t="s">
        <v>214</v>
      </c>
      <c r="C64" s="80"/>
      <c r="D64" s="80"/>
      <c r="E64" s="80"/>
      <c r="F64" s="81"/>
      <c r="G64" s="23">
        <f>(G63)*'Fane 15. Nøgletal'!C33</f>
        <v>824955.22385501314</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8" t="s">
        <v>257</v>
      </c>
      <c r="C67" s="119"/>
      <c r="D67" s="119"/>
      <c r="E67" s="119"/>
      <c r="F67" s="119"/>
      <c r="G67" s="119"/>
      <c r="H67" s="120"/>
      <c r="I67" s="1"/>
    </row>
    <row r="68" spans="1:9" x14ac:dyDescent="0.25">
      <c r="A68" s="1"/>
      <c r="B68" s="79" t="s">
        <v>213</v>
      </c>
      <c r="C68" s="80"/>
      <c r="D68" s="80"/>
      <c r="E68" s="80"/>
      <c r="F68" s="81"/>
      <c r="G68" s="23">
        <f>(G63-G64)*(1+'Fane 15. Nøgletal'!C16)</f>
        <v>43688968.691182412</v>
      </c>
      <c r="H68" s="14" t="s">
        <v>3</v>
      </c>
      <c r="I68" s="1"/>
    </row>
    <row r="69" spans="1:9" x14ac:dyDescent="0.25">
      <c r="A69" s="1"/>
      <c r="B69" s="79" t="s">
        <v>214</v>
      </c>
      <c r="C69" s="80"/>
      <c r="D69" s="80"/>
      <c r="E69" s="80"/>
      <c r="F69" s="81"/>
      <c r="G69" s="23">
        <f>(G68)*'Fane 15. Nøgletal'!C33</f>
        <v>873779.37382364832</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r8VsFffq3H29aQ/6B2/MQkx7fza6vOZxSqqrrsMRTyRjU2P6O+affNR2kQ/DAFhR78H9cFn6t5YWsmsVwOTiVQ==" saltValue="/gaKhEeEpPKyvrGfnHNUy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5" zoomScaleNormal="100" zoomScalePageLayoutView="85"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8" t="s">
        <v>50</v>
      </c>
      <c r="C4" s="119"/>
      <c r="D4" s="119"/>
      <c r="E4" s="119"/>
      <c r="F4" s="119"/>
      <c r="G4" s="119"/>
      <c r="H4" s="120"/>
      <c r="I4" s="1"/>
    </row>
    <row r="5" spans="1:9" x14ac:dyDescent="0.25">
      <c r="A5" s="1"/>
      <c r="B5" s="121" t="s">
        <v>55</v>
      </c>
      <c r="C5" s="122"/>
      <c r="D5" s="122"/>
      <c r="E5" s="122"/>
      <c r="F5" s="123"/>
      <c r="G5" s="63">
        <v>67070704.414758794</v>
      </c>
      <c r="H5" s="14" t="s">
        <v>3</v>
      </c>
      <c r="I5" s="1"/>
    </row>
    <row r="6" spans="1:9" x14ac:dyDescent="0.25">
      <c r="A6" s="1"/>
      <c r="B6" s="121" t="s">
        <v>51</v>
      </c>
      <c r="C6" s="122"/>
      <c r="D6" s="122"/>
      <c r="E6" s="122"/>
      <c r="F6" s="123"/>
      <c r="G6" s="23">
        <f>G5*'Fane 15. Nøgletal'!C21</f>
        <v>610343.41017430509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8" t="s">
        <v>56</v>
      </c>
      <c r="C9" s="119"/>
      <c r="D9" s="119"/>
      <c r="E9" s="119"/>
      <c r="F9" s="119"/>
      <c r="G9" s="119"/>
      <c r="H9" s="120"/>
      <c r="I9" s="1"/>
    </row>
    <row r="10" spans="1:9" x14ac:dyDescent="0.25">
      <c r="A10" s="1"/>
      <c r="B10" s="121" t="s">
        <v>57</v>
      </c>
      <c r="C10" s="122"/>
      <c r="D10" s="122"/>
      <c r="E10" s="122"/>
      <c r="F10" s="123"/>
      <c r="G10" s="23">
        <f>(G5-G6)*(1+'Fane 15. Nøgletal'!C10)</f>
        <v>67623417.322164729</v>
      </c>
      <c r="H10" s="14" t="s">
        <v>3</v>
      </c>
      <c r="I10" s="1"/>
    </row>
    <row r="11" spans="1:9" x14ac:dyDescent="0.25">
      <c r="A11" s="1"/>
      <c r="B11" s="121" t="s">
        <v>104</v>
      </c>
      <c r="C11" s="122"/>
      <c r="D11" s="122"/>
      <c r="E11" s="122"/>
      <c r="F11" s="123"/>
      <c r="G11" s="63">
        <v>877879.01331424364</v>
      </c>
      <c r="H11" s="14" t="s">
        <v>3</v>
      </c>
      <c r="I11" s="1"/>
    </row>
    <row r="12" spans="1:9" x14ac:dyDescent="0.25">
      <c r="A12" s="1"/>
      <c r="B12" s="124" t="s">
        <v>247</v>
      </c>
      <c r="C12" s="125"/>
      <c r="D12" s="125"/>
      <c r="E12" s="125"/>
      <c r="F12" s="126"/>
      <c r="G12" s="66">
        <v>0</v>
      </c>
      <c r="H12" s="14" t="s">
        <v>3</v>
      </c>
      <c r="I12" s="1"/>
    </row>
    <row r="13" spans="1:9" x14ac:dyDescent="0.25">
      <c r="A13" s="1"/>
      <c r="B13" s="121" t="s">
        <v>58</v>
      </c>
      <c r="C13" s="122"/>
      <c r="D13" s="122"/>
      <c r="E13" s="122"/>
      <c r="F13" s="123"/>
      <c r="G13" s="23">
        <f>SUM(G10:G12)*'Fane 15. Nøgletal'!C22</f>
        <v>1212472.9451379778</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8" t="s">
        <v>59</v>
      </c>
      <c r="C16" s="119"/>
      <c r="D16" s="119"/>
      <c r="E16" s="119"/>
      <c r="F16" s="119"/>
      <c r="G16" s="119"/>
      <c r="H16" s="120"/>
      <c r="I16" s="1"/>
    </row>
    <row r="17" spans="1:9" x14ac:dyDescent="0.25">
      <c r="A17" s="1"/>
      <c r="B17" s="121" t="s">
        <v>60</v>
      </c>
      <c r="C17" s="122"/>
      <c r="D17" s="122"/>
      <c r="E17" s="122"/>
      <c r="F17" s="123"/>
      <c r="G17" s="23">
        <f>(SUM(G10:G12)-G13)*(1+'Fane 15. Nøgletal'!C10)</f>
        <v>68466377.799671978</v>
      </c>
      <c r="H17" s="14" t="s">
        <v>3</v>
      </c>
      <c r="I17" s="1"/>
    </row>
    <row r="18" spans="1:9" x14ac:dyDescent="0.25">
      <c r="A18" s="1"/>
      <c r="B18" s="124" t="s">
        <v>248</v>
      </c>
      <c r="C18" s="125"/>
      <c r="D18" s="125"/>
      <c r="E18" s="125"/>
      <c r="F18" s="126"/>
      <c r="G18" s="63">
        <v>91439.020064249984</v>
      </c>
      <c r="H18" s="14" t="s">
        <v>3</v>
      </c>
      <c r="I18" s="1"/>
    </row>
    <row r="19" spans="1:9" x14ac:dyDescent="0.25">
      <c r="A19" s="1"/>
      <c r="B19" s="121" t="s">
        <v>61</v>
      </c>
      <c r="C19" s="122"/>
      <c r="D19" s="122"/>
      <c r="E19" s="122"/>
      <c r="F19" s="123"/>
      <c r="G19" s="23">
        <f>G17*'Fane 15. Nøgletal'!C22+G18*'Fane 15. Nøgletal'!C23</f>
        <v>1212650.406528753</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8" t="s">
        <v>62</v>
      </c>
      <c r="C22" s="119"/>
      <c r="D22" s="119"/>
      <c r="E22" s="119"/>
      <c r="F22" s="119"/>
      <c r="G22" s="119"/>
      <c r="H22" s="120"/>
      <c r="I22" s="1"/>
    </row>
    <row r="23" spans="1:9" x14ac:dyDescent="0.25">
      <c r="A23" s="1"/>
      <c r="B23" s="121" t="s">
        <v>63</v>
      </c>
      <c r="C23" s="122"/>
      <c r="D23" s="122"/>
      <c r="E23" s="122"/>
      <c r="F23" s="123"/>
      <c r="G23" s="23">
        <f>(G17+G18-G19)*(1+'Fane 15. Nøgletal'!C12)</f>
        <v>68671866.191547662</v>
      </c>
      <c r="H23" s="14" t="s">
        <v>3</v>
      </c>
      <c r="I23" s="1"/>
    </row>
    <row r="24" spans="1:9" x14ac:dyDescent="0.25">
      <c r="A24" s="1"/>
      <c r="B24" s="124" t="s">
        <v>249</v>
      </c>
      <c r="C24" s="125"/>
      <c r="D24" s="125"/>
      <c r="E24" s="125"/>
      <c r="F24" s="126"/>
      <c r="G24" s="63">
        <v>26346.214675366351</v>
      </c>
      <c r="H24" s="14" t="s">
        <v>3</v>
      </c>
      <c r="I24" s="1"/>
    </row>
    <row r="25" spans="1:9" x14ac:dyDescent="0.25">
      <c r="A25" s="1"/>
      <c r="B25" s="121" t="s">
        <v>64</v>
      </c>
      <c r="C25" s="122"/>
      <c r="D25" s="122"/>
      <c r="E25" s="122"/>
      <c r="F25" s="123"/>
      <c r="G25" s="23">
        <f>(G23+G24)*'Fane 15. Nøgletal'!C24</f>
        <v>1951029.2323367342</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8" t="s">
        <v>65</v>
      </c>
      <c r="C28" s="119"/>
      <c r="D28" s="119"/>
      <c r="E28" s="119"/>
      <c r="F28" s="119"/>
      <c r="G28" s="119"/>
      <c r="H28" s="120"/>
      <c r="I28" s="1"/>
    </row>
    <row r="29" spans="1:9" x14ac:dyDescent="0.25">
      <c r="A29" s="1"/>
      <c r="B29" s="121" t="s">
        <v>66</v>
      </c>
      <c r="C29" s="122"/>
      <c r="D29" s="122"/>
      <c r="E29" s="122"/>
      <c r="F29" s="123"/>
      <c r="G29" s="23">
        <f>(G23+G24-G25)*(1+'Fane 15. Nøgletal'!C12)</f>
        <v>68062102.682411849</v>
      </c>
      <c r="H29" s="14" t="s">
        <v>3</v>
      </c>
      <c r="I29" s="1"/>
    </row>
    <row r="30" spans="1:9" x14ac:dyDescent="0.25">
      <c r="A30" s="1"/>
      <c r="B30" s="121" t="s">
        <v>250</v>
      </c>
      <c r="C30" s="122"/>
      <c r="D30" s="122"/>
      <c r="E30" s="122"/>
      <c r="F30" s="123"/>
      <c r="G30" s="63">
        <v>622735.12863575993</v>
      </c>
      <c r="H30" s="14" t="s">
        <v>3</v>
      </c>
      <c r="I30" s="1"/>
    </row>
    <row r="31" spans="1:9" x14ac:dyDescent="0.25">
      <c r="A31" s="1"/>
      <c r="B31" s="121" t="s">
        <v>67</v>
      </c>
      <c r="C31" s="122"/>
      <c r="D31" s="122"/>
      <c r="E31" s="122"/>
      <c r="F31" s="123"/>
      <c r="G31" s="23">
        <f>G29*'Fane 15. Nøgletal'!C24+G30*'Fane 15. Nøgletal'!C25</f>
        <v>1950088.93221798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8" t="s">
        <v>130</v>
      </c>
      <c r="C34" s="119"/>
      <c r="D34" s="119"/>
      <c r="E34" s="119"/>
      <c r="F34" s="119"/>
      <c r="G34" s="119"/>
      <c r="H34" s="120"/>
      <c r="I34" s="1"/>
    </row>
    <row r="35" spans="1:9" x14ac:dyDescent="0.25">
      <c r="A35" s="1"/>
      <c r="B35" s="121" t="s">
        <v>215</v>
      </c>
      <c r="C35" s="122"/>
      <c r="D35" s="122"/>
      <c r="E35" s="122"/>
      <c r="F35" s="123"/>
      <c r="G35" s="23">
        <f>(G29+G30-G31)*(1+'Fane 15. Nøgletal'!C14)</f>
        <v>66954973.550129779</v>
      </c>
      <c r="H35" s="14" t="s">
        <v>3</v>
      </c>
      <c r="I35" s="1"/>
    </row>
    <row r="36" spans="1:9" x14ac:dyDescent="0.25">
      <c r="A36" s="1"/>
      <c r="B36" s="121" t="s">
        <v>251</v>
      </c>
      <c r="C36" s="122"/>
      <c r="D36" s="122"/>
      <c r="E36" s="122"/>
      <c r="F36" s="123"/>
      <c r="G36" s="63">
        <v>0</v>
      </c>
      <c r="H36" s="14" t="s">
        <v>3</v>
      </c>
      <c r="I36" s="1"/>
    </row>
    <row r="37" spans="1:9" x14ac:dyDescent="0.25">
      <c r="A37" s="1"/>
      <c r="B37" s="121" t="s">
        <v>131</v>
      </c>
      <c r="C37" s="122"/>
      <c r="D37" s="122"/>
      <c r="E37" s="122"/>
      <c r="F37" s="123"/>
      <c r="G37" s="23">
        <f>(G35+G36)*'Fane 15. Nøgletal'!C26</f>
        <v>990933.60854192078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8" t="s">
        <v>151</v>
      </c>
      <c r="C40" s="119"/>
      <c r="D40" s="119"/>
      <c r="E40" s="119"/>
      <c r="F40" s="119"/>
      <c r="G40" s="119"/>
      <c r="H40" s="120"/>
      <c r="I40" s="1"/>
    </row>
    <row r="41" spans="1:9" x14ac:dyDescent="0.25">
      <c r="A41" s="1"/>
      <c r="B41" s="121" t="s">
        <v>216</v>
      </c>
      <c r="C41" s="122"/>
      <c r="D41" s="122"/>
      <c r="E41" s="122"/>
      <c r="F41" s="123"/>
      <c r="G41" s="23">
        <f>(G35+G36-G37)*(1+'Fane 15. Nøgletal'!C14)</f>
        <v>66181721.273395106</v>
      </c>
      <c r="H41" s="14" t="s">
        <v>3</v>
      </c>
      <c r="I41" s="1"/>
    </row>
    <row r="42" spans="1:9" x14ac:dyDescent="0.25">
      <c r="A42" s="1"/>
      <c r="B42" s="40" t="s">
        <v>156</v>
      </c>
      <c r="C42" s="80"/>
      <c r="D42" s="80"/>
      <c r="E42" s="80"/>
      <c r="F42" s="81"/>
      <c r="G42" s="63">
        <v>0</v>
      </c>
      <c r="H42" s="14" t="s">
        <v>3</v>
      </c>
      <c r="I42" s="1"/>
    </row>
    <row r="43" spans="1:9" x14ac:dyDescent="0.25">
      <c r="A43" s="1"/>
      <c r="B43" s="121" t="s">
        <v>132</v>
      </c>
      <c r="C43" s="122"/>
      <c r="D43" s="122"/>
      <c r="E43" s="122"/>
      <c r="F43" s="123"/>
      <c r="G43" s="23">
        <f>(G41)*'Fane 15. Nøgletal'!C26+G42*'Fane 15. Nøgletal'!C27</f>
        <v>979489.47484624758</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8" t="s">
        <v>259</v>
      </c>
      <c r="C52" s="119"/>
      <c r="D52" s="119"/>
      <c r="E52" s="119"/>
      <c r="F52" s="119"/>
      <c r="G52" s="119"/>
      <c r="H52" s="120"/>
      <c r="I52" s="1"/>
    </row>
    <row r="53" spans="1:9" x14ac:dyDescent="0.25">
      <c r="A53" s="1"/>
      <c r="B53" s="121" t="s">
        <v>217</v>
      </c>
      <c r="C53" s="122"/>
      <c r="D53" s="122"/>
      <c r="E53" s="122"/>
      <c r="F53" s="123"/>
      <c r="G53" s="23">
        <f>(G41+G42-G43)*(1+'Fane 15. Nøgletal'!C16)</f>
        <v>70470572.127871603</v>
      </c>
      <c r="H53" s="14" t="s">
        <v>3</v>
      </c>
      <c r="I53" s="1"/>
    </row>
    <row r="54" spans="1:9" x14ac:dyDescent="0.25">
      <c r="A54" s="1"/>
      <c r="B54" s="79" t="s">
        <v>195</v>
      </c>
      <c r="C54" s="80"/>
      <c r="D54" s="80"/>
      <c r="E54" s="80"/>
      <c r="F54" s="81"/>
      <c r="G54" s="23">
        <f>('Fane 2.1. Økonomisk ramme 2024'!C11+'Fane 2.1. Økonomisk ramme 2024'!C13+'Fane 2.1. Økonomisk ramme 2024'!C15)*(1+'Fane 15. Nøgletal'!C16)</f>
        <v>4110868.9648588798</v>
      </c>
      <c r="H54" s="14" t="s">
        <v>3</v>
      </c>
      <c r="I54" s="1"/>
    </row>
    <row r="55" spans="1:9" x14ac:dyDescent="0.25">
      <c r="A55" s="1"/>
      <c r="B55" s="121" t="s">
        <v>218</v>
      </c>
      <c r="C55" s="122"/>
      <c r="D55" s="122"/>
      <c r="E55" s="122"/>
      <c r="F55" s="123"/>
      <c r="G55" s="6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8" t="s">
        <v>258</v>
      </c>
      <c r="C58" s="119"/>
      <c r="D58" s="119"/>
      <c r="E58" s="119"/>
      <c r="F58" s="119"/>
      <c r="G58" s="119"/>
      <c r="H58" s="120"/>
      <c r="I58" s="1"/>
    </row>
    <row r="59" spans="1:9" x14ac:dyDescent="0.25">
      <c r="A59" s="1"/>
      <c r="B59" s="121" t="s">
        <v>219</v>
      </c>
      <c r="C59" s="122"/>
      <c r="D59" s="122"/>
      <c r="E59" s="122"/>
      <c r="F59" s="123"/>
      <c r="G59" s="23">
        <f>(G53+G54-G55)*(1+'Fane 15. Nøgletal'!C16)</f>
        <v>80607621.533023104</v>
      </c>
      <c r="H59" s="14" t="s">
        <v>3</v>
      </c>
      <c r="I59" s="1"/>
    </row>
    <row r="60" spans="1:9" x14ac:dyDescent="0.25">
      <c r="A60" s="1"/>
      <c r="B60" s="121" t="s">
        <v>220</v>
      </c>
      <c r="C60" s="122"/>
      <c r="D60" s="122"/>
      <c r="E60" s="122"/>
      <c r="F60" s="123"/>
      <c r="G60" s="6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8" t="s">
        <v>141</v>
      </c>
      <c r="C63" s="119"/>
      <c r="D63" s="119"/>
      <c r="E63" s="119"/>
      <c r="F63" s="119"/>
      <c r="G63" s="119"/>
      <c r="H63" s="120"/>
      <c r="I63" s="1"/>
    </row>
    <row r="64" spans="1:9" x14ac:dyDescent="0.25">
      <c r="A64" s="1"/>
      <c r="B64" s="121" t="s">
        <v>221</v>
      </c>
      <c r="C64" s="122"/>
      <c r="D64" s="122"/>
      <c r="E64" s="122"/>
      <c r="F64" s="123"/>
      <c r="G64" s="23">
        <f>(G59-G60)*(1+'Fane 15. Nøgletal'!C16)</f>
        <v>87120717.352891371</v>
      </c>
      <c r="H64" s="14" t="s">
        <v>3</v>
      </c>
      <c r="I64" s="1"/>
    </row>
    <row r="65" spans="1:9" x14ac:dyDescent="0.25">
      <c r="A65" s="1"/>
      <c r="B65" s="121" t="s">
        <v>222</v>
      </c>
      <c r="C65" s="122"/>
      <c r="D65" s="122"/>
      <c r="E65" s="122"/>
      <c r="F65" s="123"/>
      <c r="G65" s="6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8" t="s">
        <v>223</v>
      </c>
      <c r="C68" s="119"/>
      <c r="D68" s="119"/>
      <c r="E68" s="119"/>
      <c r="F68" s="119"/>
      <c r="G68" s="119"/>
      <c r="H68" s="120"/>
      <c r="I68" s="1"/>
    </row>
    <row r="69" spans="1:9" x14ac:dyDescent="0.25">
      <c r="A69" s="1"/>
      <c r="B69" s="121" t="s">
        <v>221</v>
      </c>
      <c r="C69" s="122"/>
      <c r="D69" s="122"/>
      <c r="E69" s="122"/>
      <c r="F69" s="123"/>
      <c r="G69" s="23">
        <f>(G64-G65)*(1+'Fane 15. Nøgletal'!C16)</f>
        <v>94160071.31500499</v>
      </c>
      <c r="H69" s="14" t="s">
        <v>3</v>
      </c>
      <c r="I69" s="1"/>
    </row>
    <row r="70" spans="1:9" x14ac:dyDescent="0.25">
      <c r="A70" s="1"/>
      <c r="B70" s="121" t="s">
        <v>222</v>
      </c>
      <c r="C70" s="122"/>
      <c r="D70" s="122"/>
      <c r="E70" s="122"/>
      <c r="F70" s="123"/>
      <c r="G70" s="6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NQ4f+kj8/s0ZhC7MIAcSod1jAzgV4csaRtDf/MBTTNhaFwNJttEyr5hJneP9B2HCz5cPmTLLTQ//Gldgja4A7g==" saltValue="fL8jP5SW56ERKhZLdkVNLQ=="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10</v>
      </c>
      <c r="C8" s="119"/>
      <c r="D8" s="119"/>
      <c r="E8" s="119"/>
      <c r="F8" s="119"/>
      <c r="G8" s="120"/>
      <c r="H8" s="1"/>
    </row>
    <row r="9" spans="1:8" x14ac:dyDescent="0.25">
      <c r="A9" s="1"/>
      <c r="B9" s="121" t="s">
        <v>271</v>
      </c>
      <c r="C9" s="122"/>
      <c r="D9" s="122"/>
      <c r="E9" s="122"/>
      <c r="F9" s="123"/>
      <c r="G9" s="22">
        <v>0</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A/HGlQt6j+MjWQvcETlb2jojUpR7rh5R1fsn+uRaR0CHiAYl9sGeten+yu3KMsWfe+lonmiJQxnzNIpHJmaKTQ==" saltValue="Kg8Iq4GFtltrDwH10+gZv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2023-11-17T11:39:34Z</dcterms:modified>
</cp:coreProperties>
</file>