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E31" i="19" l="1"/>
  <c r="C36" i="19" l="1"/>
  <c r="E36" i="19" s="1"/>
  <c r="F19" i="7" l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9" i="9" l="1"/>
  <c r="C15" i="8" s="1"/>
  <c r="E29" i="19"/>
  <c r="C14" i="16"/>
  <c r="C8" i="8" s="1"/>
  <c r="C9" i="11"/>
  <c r="C28" i="8" s="1"/>
  <c r="C13" i="15" l="1"/>
  <c r="C15" i="15" s="1"/>
  <c r="C11" i="8" s="1"/>
  <c r="C20" i="16"/>
  <c r="C9" i="16"/>
  <c r="C11" i="17"/>
  <c r="K10" i="17" s="1"/>
  <c r="C13" i="19"/>
  <c r="C27" i="19" s="1"/>
  <c r="C9" i="8"/>
  <c r="C7" i="8"/>
  <c r="E27" i="19" l="1"/>
  <c r="E37" i="19" s="1"/>
  <c r="C34" i="8" s="1"/>
  <c r="E34" i="8" s="1"/>
  <c r="E11" i="17"/>
  <c r="G11" i="17" s="1"/>
  <c r="I11" i="17" s="1"/>
  <c r="K11" i="17" s="1"/>
  <c r="C8" i="15"/>
  <c r="C9" i="12" l="1"/>
  <c r="C32" i="8" s="1"/>
  <c r="E32" i="8" s="1"/>
  <c r="C9" i="13" l="1"/>
  <c r="C26" i="8" s="1"/>
  <c r="F8" i="2" l="1"/>
  <c r="F8" i="7"/>
  <c r="F18" i="7" s="1"/>
  <c r="F31" i="2" l="1"/>
  <c r="C9" i="10" s="1"/>
  <c r="C15" i="11" l="1"/>
  <c r="C29" i="8" s="1"/>
  <c r="C15" i="13"/>
  <c r="C27" i="8" s="1"/>
  <c r="C14" i="4"/>
  <c r="C25" i="8" s="1"/>
  <c r="C23" i="3"/>
  <c r="C23" i="8" s="1"/>
  <c r="F20" i="7"/>
  <c r="C18" i="8" s="1"/>
  <c r="C17" i="3"/>
  <c r="C22" i="8" s="1"/>
  <c r="C11" i="3"/>
  <c r="C21" i="8" s="1"/>
  <c r="C8" i="4"/>
  <c r="C24" i="8" s="1"/>
  <c r="C10" i="10"/>
  <c r="C17" i="8" s="1"/>
  <c r="F33" i="2"/>
  <c r="C16" i="8" s="1"/>
  <c r="C19" i="8" l="1"/>
  <c r="E19" i="8" s="1"/>
  <c r="C30" i="8"/>
  <c r="E30" i="8" s="1"/>
  <c r="A1" i="8"/>
  <c r="C9" i="15" l="1"/>
  <c r="C10" i="8" s="1"/>
  <c r="C13" i="8" s="1"/>
  <c r="E13" i="8" s="1"/>
  <c r="E36" i="8" s="1"/>
  <c r="E38" i="8" s="1"/>
</calcChain>
</file>

<file path=xl/sharedStrings.xml><?xml version="1.0" encoding="utf-8"?>
<sst xmlns="http://schemas.openxmlformats.org/spreadsheetml/2006/main" count="469" uniqueCount="230">
  <si>
    <t>kr.</t>
  </si>
  <si>
    <t xml:space="preserve"> Beskrivelse af investeringen   </t>
  </si>
  <si>
    <t>Driftsomkostninger</t>
  </si>
  <si>
    <t>Bortfald af væsentlige omkostninger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</si>
  <si>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</si>
  <si>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</si>
  <si>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</si>
  <si>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</si>
  <si>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</si>
  <si>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</si>
  <si>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</si>
  <si>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</si>
  <si>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</si>
  <si>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</si>
  <si>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</si>
  <si>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</si>
  <si>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</si>
  <si>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</si>
  <si>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</si>
  <si>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</si>
  <si>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</si>
  <si>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</si>
  <si>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</si>
  <si>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</si>
  <si>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</si>
  <si>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</si>
  <si>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</si>
  <si>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</si>
  <si>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</si>
  <si>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</si>
  <si>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</si>
  <si>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</si>
  <si>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</si>
  <si>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</si>
  <si>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</si>
  <si>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</si>
  <si>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</si>
  <si>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</si>
  <si>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</si>
  <si>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</si>
  <si>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</si>
  <si>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</si>
  <si>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</si>
  <si>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</si>
  <si>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</si>
  <si>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</si>
  <si>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</si>
  <si>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</si>
  <si>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</si>
  <si>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</si>
  <si>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</si>
  <si>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</si>
  <si>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</si>
  <si>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</si>
  <si>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</si>
  <si>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</si>
  <si>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</si>
  <si>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</si>
  <si>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</si>
  <si>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</si>
  <si>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</si>
  <si>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</si>
  <si>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</si>
  <si>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</si>
  <si>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</si>
  <si>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</si>
  <si>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</si>
  <si>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</si>
  <si>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</si>
  <si>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</si>
  <si>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</si>
  <si>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</si>
  <si>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</si>
  <si>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</si>
  <si>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</si>
  <si>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</si>
  <si>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</si>
  <si>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</si>
  <si>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</si>
  <si>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</si>
  <si>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</si>
  <si>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</si>
  <si>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</si>
  <si>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</si>
  <si>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</si>
  <si>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</si>
  <si>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</si>
  <si>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</si>
  <si>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</si>
  <si>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</si>
  <si>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</si>
  <si>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</si>
  <si>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</si>
  <si>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</si>
  <si>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</si>
  <si>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</si>
  <si>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</si>
  <si>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</si>
  <si>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</si>
  <si>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</si>
  <si>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</si>
  <si>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</si>
  <si>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</si>
  <si>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</si>
  <si>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</si>
  <si>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</si>
  <si>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</si>
  <si>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</si>
  <si>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</si>
  <si>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</si>
  <si>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</si>
  <si>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</si>
  <si>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</si>
  <si>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</si>
  <si>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</si>
  <si>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</si>
  <si>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</si>
  <si>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</si>
  <si>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</si>
  <si>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</si>
  <si>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</si>
  <si>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</si>
  <si>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</si>
  <si>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</si>
  <si>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</si>
  <si>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</si>
  <si>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</si>
  <si>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</si>
  <si>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</si>
  <si>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</si>
  <si>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</si>
  <si>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</si>
  <si>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</si>
  <si>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</si>
  <si>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</si>
  <si>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</si>
  <si>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</si>
  <si>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</si>
  <si>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</si>
  <si>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</si>
  <si>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</si>
  <si>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</si>
  <si>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</si>
  <si>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</si>
  <si>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</si>
  <si>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</si>
  <si>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</si>
  <si>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</si>
  <si>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</si>
  <si>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</si>
  <si>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</si>
  <si>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</si>
  <si>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</si>
  <si>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</si>
  <si>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</si>
  <si>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</si>
  <si>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</si>
  <si>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</si>
  <si>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</si>
  <si>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</si>
  <si>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</si>
  <si>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</si>
  <si>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</si>
  <si>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</si>
  <si>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</si>
  <si>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</si>
  <si>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</si>
  <si>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</si>
  <si>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</si>
  <si>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</si>
  <si>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</si>
  <si>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</si>
  <si>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</si>
  <si>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</si>
  <si>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</si>
  <si>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</si>
  <si>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</si>
  <si>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</si>
  <si>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</si>
  <si>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</si>
  <si>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</si>
  <si>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</si>
  <si>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</si>
  <si>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</si>
  <si>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</si>
  <si>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</si>
  <si>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</si>
  <si>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Andet, Iltning af Furesø</t>
  </si>
  <si>
    <t xml:space="preserve">Ledningsnet ≤ Ø 200 mm </t>
  </si>
  <si>
    <t xml:space="preserve">Ø 200 mm &lt; Ledningsnet ≤ Ø 500 mm </t>
  </si>
  <si>
    <t>Strømpeforing ≤ Ø 200 mm</t>
  </si>
  <si>
    <t>Strømpeforing Ø 200 mm &lt; Ledningsnet ≤ Ø 500 mm</t>
  </si>
  <si>
    <t>Strømpeforing Ø 500 mm &lt; Ledningsnet ≤ Ø 800 mm</t>
  </si>
  <si>
    <t>Strømpeforing Ø 800 mm &lt; Ledningsnet ≤ Ø 1000 mm</t>
  </si>
  <si>
    <t>Brønde</t>
  </si>
  <si>
    <t>Stik</t>
  </si>
  <si>
    <t>Pumpestationer i brønde (&lt; 6,25 m2), Konstruktioner</t>
  </si>
  <si>
    <t>Pumpestationer i brønde (&lt; 6,25 m2), Mek/EL</t>
  </si>
  <si>
    <t>Pumpestationer i brønde (&lt; 6,25 m2), SRO</t>
  </si>
  <si>
    <t>Kælder</t>
  </si>
  <si>
    <t>Pumpeinstallation Miljøklasse A (100-300 l/s) - Mek/EL</t>
  </si>
  <si>
    <t>Pumpeinstallation Miljøklasse A (600-1.000 l/s) - Mek/EL</t>
  </si>
  <si>
    <t>Pumpeinstallation Miljøklasse A (600-1.000 l/s) - SRO</t>
  </si>
  <si>
    <t>Køretøjer, små lastvogne (&lt; 3.500 kg.)</t>
  </si>
  <si>
    <t>2014</t>
  </si>
  <si>
    <t>75</t>
  </si>
  <si>
    <t>50</t>
  </si>
  <si>
    <t>20</t>
  </si>
  <si>
    <t>10</t>
  </si>
  <si>
    <t>5</t>
  </si>
  <si>
    <t>45</t>
  </si>
  <si>
    <t>Hydraulisk model</t>
  </si>
  <si>
    <t>Mike Urban - software</t>
  </si>
  <si>
    <t>Udskiftning af måleudstyr</t>
  </si>
  <si>
    <t>Betonrenovering af beluftningstanke</t>
  </si>
  <si>
    <t>Låsesystem</t>
  </si>
  <si>
    <t xml:space="preserve">Tilbagestrømssikring </t>
  </si>
  <si>
    <t>Ø 500 mm &lt; Ledningsnet ≤ Ø 800 mm</t>
  </si>
  <si>
    <t>Forafvanding, slam, Mek/EL</t>
  </si>
  <si>
    <t>Gasdisponering, Mek/EL</t>
  </si>
  <si>
    <t>Indløb med riste, Konstruktioner</t>
  </si>
  <si>
    <t>Jordbassin Klasse A</t>
  </si>
  <si>
    <t>Ejendomsskatter</t>
  </si>
  <si>
    <t>Spildevandsafgift</t>
  </si>
  <si>
    <t>Køb af ydelser og produkter, der er omfattet af prisloftreguleringen, hos et andet selskab</t>
  </si>
  <si>
    <t xml:space="preserve">Søndersøkvarteret </t>
  </si>
  <si>
    <t>Korrektion for prisudvikling (ekskl. tillæg iht. § 8, stk. 3)</t>
  </si>
  <si>
    <t>Furesø Spildevand AS</t>
  </si>
  <si>
    <t>S027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</si>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</sst>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57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106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58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31" t="s">
        <v>59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4" t="s">
        <v>131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7" t="s">
        <v>43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7" t="s">
        <v>60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7" t="s">
        <v>87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7" t="s">
        <v>61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9" t="s">
        <v>41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6" t="s">
        <v>62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53" t="s">
        <v>63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50" t="s">
        <v>42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47" t="s">
        <v>64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130</v>
      </c>
      <c r="D28" s="241" t="s">
        <v>141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140</v>
      </c>
      <c r="D29" s="244" t="s">
        <v>142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Furesø Spildevand AS</v>
      </c>
      <c r="B1" s="56"/>
      <c r="C1" s="56"/>
      <c r="D1" s="56"/>
      <c r="E1" s="56"/>
    </row>
    <row r="2" spans="1:5" x14ac:dyDescent="0.25">
      <c r="A2" s="222" t="str">
        <f>'1. Forside'!A2</f>
        <v>S027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121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149</v>
      </c>
      <c r="C6" s="180"/>
      <c r="D6" s="190"/>
      <c r="E6" s="56"/>
    </row>
    <row r="7" spans="1:5" x14ac:dyDescent="0.25">
      <c r="A7" s="56"/>
      <c r="B7" s="213" t="s">
        <v>187</v>
      </c>
      <c r="C7" s="51">
        <v>375000</v>
      </c>
      <c r="D7" s="191" t="s">
        <v>0</v>
      </c>
      <c r="E7" s="56"/>
    </row>
    <row r="8" spans="1:5" x14ac:dyDescent="0.25">
      <c r="A8" s="56"/>
      <c r="B8" s="54" t="s">
        <v>35</v>
      </c>
      <c r="C8" s="55">
        <f>SUM(C7:C7)</f>
        <v>375000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150</v>
      </c>
      <c r="C11" s="193"/>
      <c r="D11" s="190"/>
      <c r="E11" s="56"/>
    </row>
    <row r="12" spans="1:5" ht="16.7" customHeight="1" x14ac:dyDescent="0.25">
      <c r="A12" s="56"/>
      <c r="B12" s="108" t="s">
        <v>151</v>
      </c>
      <c r="C12" s="19">
        <v>357763</v>
      </c>
      <c r="D12" s="153" t="s">
        <v>0</v>
      </c>
      <c r="E12" s="56"/>
    </row>
    <row r="13" spans="1:5" ht="16.7" customHeight="1" x14ac:dyDescent="0.25">
      <c r="A13" s="56"/>
      <c r="B13" s="108" t="s">
        <v>152</v>
      </c>
      <c r="C13" s="40">
        <v>377900</v>
      </c>
      <c r="D13" s="153" t="s">
        <v>0</v>
      </c>
      <c r="E13" s="56"/>
    </row>
    <row r="14" spans="1:5" x14ac:dyDescent="0.25">
      <c r="A14" s="56"/>
      <c r="B14" s="28" t="s">
        <v>153</v>
      </c>
      <c r="C14" s="55">
        <f>C12-C13</f>
        <v>-20137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Furesø Spildevand AS</v>
      </c>
      <c r="B1" s="26"/>
      <c r="C1" s="26"/>
      <c r="D1" s="26"/>
      <c r="E1" s="26"/>
    </row>
    <row r="2" spans="1:5" x14ac:dyDescent="0.25">
      <c r="A2" s="223" t="str">
        <f>'1. Forside'!A2</f>
        <v>S027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120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154</v>
      </c>
      <c r="C7" s="273"/>
      <c r="D7" s="274"/>
      <c r="E7" s="26"/>
    </row>
    <row r="8" spans="1:5" x14ac:dyDescent="0.25">
      <c r="A8" s="26"/>
      <c r="B8" s="108" t="s">
        <v>225</v>
      </c>
      <c r="C8" s="51">
        <v>591009</v>
      </c>
      <c r="D8" s="191" t="s">
        <v>0</v>
      </c>
      <c r="E8" s="26"/>
    </row>
    <row r="9" spans="1:5" x14ac:dyDescent="0.25">
      <c r="A9" s="26"/>
      <c r="B9" s="54" t="s">
        <v>35</v>
      </c>
      <c r="C9" s="55">
        <f xml:space="preserve"> SUM(C8:C8)</f>
        <v>591009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155</v>
      </c>
      <c r="C12" s="273"/>
      <c r="D12" s="274"/>
      <c r="E12" s="26"/>
    </row>
    <row r="13" spans="1:5" ht="15.75" customHeight="1" x14ac:dyDescent="0.25">
      <c r="A13" s="26"/>
      <c r="B13" s="108" t="s">
        <v>156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157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158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Furesø Spildevand AS</v>
      </c>
      <c r="B1" s="26"/>
      <c r="C1" s="26"/>
      <c r="D1" s="26"/>
      <c r="E1" s="26"/>
    </row>
    <row r="2" spans="1:5" x14ac:dyDescent="0.25">
      <c r="A2" s="223" t="str">
        <f>'1. Forside'!A2</f>
        <v>S027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119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159</v>
      </c>
      <c r="C6" s="199"/>
      <c r="D6" s="200"/>
      <c r="E6" s="26"/>
    </row>
    <row r="7" spans="1:5" x14ac:dyDescent="0.25">
      <c r="A7" s="26"/>
      <c r="B7" s="110" t="s">
        <v>160</v>
      </c>
      <c r="C7" s="51">
        <v>1489000</v>
      </c>
      <c r="D7" s="191" t="s">
        <v>0</v>
      </c>
      <c r="E7" s="26"/>
    </row>
    <row r="8" spans="1:5" x14ac:dyDescent="0.25">
      <c r="A8" s="26"/>
      <c r="B8" s="110" t="s">
        <v>161</v>
      </c>
      <c r="C8" s="51">
        <v>190000</v>
      </c>
      <c r="D8" s="191" t="s">
        <v>0</v>
      </c>
      <c r="E8" s="26"/>
    </row>
    <row r="9" spans="1:5" x14ac:dyDescent="0.25">
      <c r="A9" s="26"/>
      <c r="B9" s="54" t="s">
        <v>33</v>
      </c>
      <c r="C9" s="55">
        <f>C7-C8</f>
        <v>1299000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165</v>
      </c>
      <c r="C12" s="201"/>
      <c r="D12" s="200"/>
      <c r="E12" s="26"/>
    </row>
    <row r="13" spans="1:5" x14ac:dyDescent="0.25">
      <c r="A13" s="26"/>
      <c r="B13" s="108" t="s">
        <v>162</v>
      </c>
      <c r="C13" s="19">
        <v>1103158</v>
      </c>
      <c r="D13" s="153" t="s">
        <v>0</v>
      </c>
      <c r="E13" s="26"/>
    </row>
    <row r="14" spans="1:5" x14ac:dyDescent="0.25">
      <c r="A14" s="26"/>
      <c r="B14" s="108" t="s">
        <v>163</v>
      </c>
      <c r="C14" s="40">
        <v>2132500</v>
      </c>
      <c r="D14" s="153" t="s">
        <v>0</v>
      </c>
      <c r="E14" s="26"/>
    </row>
    <row r="15" spans="1:5" x14ac:dyDescent="0.25">
      <c r="A15" s="26"/>
      <c r="B15" s="28" t="s">
        <v>164</v>
      </c>
      <c r="C15" s="55">
        <f>C13-C14</f>
        <v>-1029342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Furesø Spildevand AS</v>
      </c>
      <c r="B1" s="26"/>
      <c r="C1" s="26"/>
      <c r="D1" s="26"/>
      <c r="E1" s="26"/>
    </row>
    <row r="2" spans="1:5" x14ac:dyDescent="0.25">
      <c r="A2" s="223" t="str">
        <f>'1. Forside'!A2</f>
        <v>S027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118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18</v>
      </c>
      <c r="C6" s="180"/>
      <c r="D6" s="190"/>
      <c r="E6" s="26"/>
    </row>
    <row r="7" spans="1:5" x14ac:dyDescent="0.25">
      <c r="A7" s="26"/>
      <c r="B7" s="58" t="s">
        <v>46</v>
      </c>
      <c r="C7" s="51">
        <v>2741884</v>
      </c>
      <c r="D7" s="191" t="s">
        <v>0</v>
      </c>
      <c r="E7" s="26"/>
    </row>
    <row r="8" spans="1:5" x14ac:dyDescent="0.25">
      <c r="A8" s="26"/>
      <c r="B8" s="111" t="s">
        <v>166</v>
      </c>
      <c r="C8" s="51">
        <v>2741884</v>
      </c>
      <c r="D8" s="191" t="s">
        <v>0</v>
      </c>
      <c r="E8" s="26"/>
    </row>
    <row r="9" spans="1:5" x14ac:dyDescent="0.25">
      <c r="A9" s="26"/>
      <c r="B9" s="59" t="s">
        <v>19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20</v>
      </c>
      <c r="C10" s="51">
        <v>0</v>
      </c>
      <c r="D10" s="191" t="s">
        <v>23</v>
      </c>
      <c r="E10" s="26"/>
    </row>
    <row r="11" spans="1:5" x14ac:dyDescent="0.25">
      <c r="A11" s="26"/>
      <c r="B11" s="54" t="s">
        <v>33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Furesø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S027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117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60847640.273688845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168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23833732.61882285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169</v>
      </c>
      <c r="C10" s="14">
        <v>1411788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170</v>
      </c>
      <c r="C11" s="14">
        <v>-353154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171</v>
      </c>
      <c r="C12" s="14">
        <v>1035733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21</v>
      </c>
      <c r="C13" s="7">
        <f>SUM(C9:C12)</f>
        <v>25928099.61882285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8">
        <v>1683316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1683316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24</v>
      </c>
      <c r="C18" s="7">
        <v>1004202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8">
        <v>-10395968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8">
        <v>-6532958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8">
        <v>-11495872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8">
        <v>-190820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25</v>
      </c>
      <c r="C26" s="7">
        <f>SUM(C19:C25)</f>
        <v>-28615618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26</v>
      </c>
      <c r="C27" s="7">
        <f>C13+C17+C18+C26</f>
        <v>-0.3811771497130394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27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28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172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172</v>
      </c>
      <c r="C31" s="209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29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30</v>
      </c>
      <c r="C33" s="208">
        <v>62812596</v>
      </c>
      <c r="D33" s="84" t="s">
        <v>0</v>
      </c>
      <c r="E33" s="75"/>
      <c r="F33" s="76"/>
      <c r="G33" s="1"/>
      <c r="H33" s="135"/>
    </row>
    <row r="34" spans="1:8" x14ac:dyDescent="0.2">
      <c r="A34" s="1"/>
      <c r="B34" s="204" t="s">
        <v>88</v>
      </c>
      <c r="C34" s="208">
        <v>460620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31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32</v>
      </c>
      <c r="C36" s="11">
        <f>SUM(C33:C35)</f>
        <v>63273216</v>
      </c>
      <c r="D36" s="79" t="s">
        <v>0</v>
      </c>
      <c r="E36" s="10">
        <f>-C36</f>
        <v>-63273216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-2425575.7263111547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Furesø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S027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167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48</v>
      </c>
      <c r="C7" s="61">
        <v>959293</v>
      </c>
      <c r="D7" s="224" t="s">
        <v>0</v>
      </c>
      <c r="E7" s="225">
        <v>3318805</v>
      </c>
      <c r="F7" s="224" t="s">
        <v>0</v>
      </c>
      <c r="G7" s="225">
        <v>2842320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74</v>
      </c>
      <c r="C8" s="226">
        <v>959293</v>
      </c>
      <c r="D8" s="224" t="s">
        <v>0</v>
      </c>
      <c r="E8" s="226">
        <v>3137448</v>
      </c>
      <c r="F8" s="224" t="s">
        <v>0</v>
      </c>
      <c r="G8" s="226">
        <v>1004202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73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56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47</v>
      </c>
      <c r="C11" s="55">
        <f>C7-C8-C9</f>
        <v>0</v>
      </c>
      <c r="D11" s="228" t="s">
        <v>0</v>
      </c>
      <c r="E11" s="55">
        <f>C11+E7-E8-E9</f>
        <v>181357</v>
      </c>
      <c r="F11" s="228" t="s">
        <v>0</v>
      </c>
      <c r="G11" s="55">
        <f>E11+G7-G8-G9</f>
        <v>2019475</v>
      </c>
      <c r="H11" s="228" t="s">
        <v>0</v>
      </c>
      <c r="I11" s="55">
        <f>G11+I7-I8-I9</f>
        <v>2019475</v>
      </c>
      <c r="J11" s="228" t="s">
        <v>0</v>
      </c>
      <c r="K11" s="55">
        <f>K7-K8-K9+K10+I11</f>
        <v>2019475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Furesø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S027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105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24087390.187308479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-81916.646311772216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16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4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5</v>
      </c>
      <c r="C12" s="14">
        <f>-'4. Benchmarking'!C20</f>
        <v>-1077851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6</v>
      </c>
      <c r="C13" s="7">
        <f>SUM(C7:C12)</f>
        <v>22927622.540996708</v>
      </c>
      <c r="D13" s="79" t="s">
        <v>0</v>
      </c>
      <c r="E13" s="6">
        <f>C13</f>
        <v>22927622.540996708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7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8</v>
      </c>
      <c r="C15" s="14">
        <f>'5. Historiske investeringer'!C9</f>
        <v>23144414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229</v>
      </c>
      <c r="C16" s="14">
        <f>'6. Gennemførte investeringer'!F33</f>
        <v>2672111.5933333333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261132.52666666638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investeringer'!F20</f>
        <v>1092661.47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21</v>
      </c>
      <c r="C19" s="9">
        <f>SUM(C15:C18)</f>
        <v>27170319.59</v>
      </c>
      <c r="D19" s="79" t="s">
        <v>0</v>
      </c>
      <c r="E19" s="8">
        <f>C19</f>
        <v>27170319.59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9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143</v>
      </c>
      <c r="C21" s="14">
        <f>'9. 1-1 omkostninger'!C11</f>
        <v>9058000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181</v>
      </c>
      <c r="C22" s="14">
        <f>'9. 1-1 omkostninger'!C17</f>
        <v>98000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111</v>
      </c>
      <c r="C23" s="14">
        <f>'9. 1-1 omkostninger'!C23</f>
        <v>-581802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149</v>
      </c>
      <c r="C24" s="14">
        <f>'10. Miljø- og servicemål'!C8</f>
        <v>375000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112</v>
      </c>
      <c r="C25" s="14">
        <f>'10. Miljø- og servicemål'!C14</f>
        <v>-20137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182</v>
      </c>
      <c r="C26" s="14">
        <f>'11. Klimatilpasning'!C9</f>
        <v>591009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183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184</v>
      </c>
      <c r="C28" s="14">
        <f>'12. Nettofinansielle poster'!C9</f>
        <v>1299000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113</v>
      </c>
      <c r="C29" s="14">
        <f>'12. Nettofinansielle poster'!C15</f>
        <v>-1029342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14</v>
      </c>
      <c r="C30" s="7">
        <f>SUM(C21:C29)</f>
        <v>9789728</v>
      </c>
      <c r="D30" s="79" t="s">
        <v>0</v>
      </c>
      <c r="E30" s="6">
        <f>C30</f>
        <v>9789728</v>
      </c>
      <c r="F30" s="80" t="s">
        <v>65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44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18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65</v>
      </c>
      <c r="G32" s="1"/>
      <c r="H32" s="135"/>
    </row>
    <row r="33" spans="1:8" ht="14.1" customHeight="1" x14ac:dyDescent="0.2">
      <c r="A33" s="1"/>
      <c r="B33" s="5" t="s">
        <v>10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186</v>
      </c>
      <c r="C34" s="9">
        <f>'14. Kontrol med indtægtsrammen'!E37</f>
        <v>-2425575.7263111547</v>
      </c>
      <c r="D34" s="79" t="s">
        <v>0</v>
      </c>
      <c r="E34" s="12">
        <f>C34</f>
        <v>-2425575.7263111547</v>
      </c>
      <c r="F34" s="80" t="s">
        <v>65</v>
      </c>
      <c r="G34" s="1"/>
      <c r="H34" s="135"/>
    </row>
    <row r="35" spans="1:8" ht="14.1" customHeight="1" x14ac:dyDescent="0.2">
      <c r="A35" s="1"/>
      <c r="B35" s="2" t="s">
        <v>11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114</v>
      </c>
      <c r="C36" s="11"/>
      <c r="D36" s="100"/>
      <c r="E36" s="10">
        <f>E13+E19+E30+E32+E34</f>
        <v>57462094.404685549</v>
      </c>
      <c r="F36" s="80" t="s">
        <v>65</v>
      </c>
      <c r="G36" s="1"/>
      <c r="H36" s="135"/>
    </row>
    <row r="37" spans="1:8" ht="14.1" customHeight="1" x14ac:dyDescent="0.2">
      <c r="A37" s="1"/>
      <c r="B37" s="112" t="s">
        <v>115</v>
      </c>
      <c r="C37" s="101"/>
      <c r="D37" s="102"/>
      <c r="E37" s="142">
        <v>1688762</v>
      </c>
      <c r="F37" s="103" t="s">
        <v>66</v>
      </c>
      <c r="G37" s="1"/>
      <c r="H37" s="135"/>
    </row>
    <row r="38" spans="1:8" ht="14.1" customHeight="1" x14ac:dyDescent="0.2">
      <c r="A38" s="1"/>
      <c r="B38" s="2" t="s">
        <v>116</v>
      </c>
      <c r="C38" s="104"/>
      <c r="D38" s="105"/>
      <c r="E38" s="67">
        <f>E36/E37</f>
        <v>34.02616496858974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Furesø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S027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127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173</v>
      </c>
      <c r="C6" s="152"/>
      <c r="D6" s="152"/>
      <c r="E6" s="26"/>
    </row>
    <row r="7" spans="1:16384" s="150" customFormat="1" ht="14.1" customHeight="1" x14ac:dyDescent="0.25">
      <c r="A7" s="26"/>
      <c r="B7" s="22" t="s">
        <v>174</v>
      </c>
      <c r="C7" s="40">
        <v>24087390.187308479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89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175</v>
      </c>
      <c r="C9" s="27">
        <f>C7+C8</f>
        <v>24087390.187308479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36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176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37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177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174</v>
      </c>
      <c r="C18" s="40">
        <v>24087390.187308479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178</v>
      </c>
      <c r="C19" s="212">
        <v>-0.38</v>
      </c>
      <c r="D19" s="153" t="s">
        <v>15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226</v>
      </c>
      <c r="C20" s="27">
        <f>(C18-2530378)*(C19/100)</f>
        <v>-81916.646311772216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Furesø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S027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132</v>
      </c>
      <c r="C6" s="152"/>
      <c r="D6" s="152"/>
      <c r="E6" s="26"/>
    </row>
    <row r="7" spans="1:5" ht="14.1" customHeight="1" x14ac:dyDescent="0.25">
      <c r="A7" s="26"/>
      <c r="B7" s="22" t="s">
        <v>38</v>
      </c>
      <c r="C7" s="218">
        <v>13677924.232847231</v>
      </c>
      <c r="D7" s="153" t="s">
        <v>0</v>
      </c>
      <c r="E7" s="26"/>
    </row>
    <row r="8" spans="1:5" ht="14.1" customHeight="1" x14ac:dyDescent="0.25">
      <c r="A8" s="26"/>
      <c r="B8" s="22" t="s">
        <v>179</v>
      </c>
      <c r="C8" s="40">
        <f>'3. Driftsomkostninger'!C18+'3. Driftsomkostninger'!C20</f>
        <v>24005473.540996708</v>
      </c>
      <c r="D8" s="153" t="s">
        <v>0</v>
      </c>
      <c r="E8" s="26"/>
    </row>
    <row r="9" spans="1:5" ht="14.1" customHeight="1" x14ac:dyDescent="0.25">
      <c r="A9" s="26"/>
      <c r="B9" s="28" t="s">
        <v>39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4</v>
      </c>
      <c r="C12" s="152"/>
      <c r="D12" s="152"/>
      <c r="E12" s="26"/>
    </row>
    <row r="13" spans="1:5" ht="14.1" customHeight="1" x14ac:dyDescent="0.25">
      <c r="A13" s="26"/>
      <c r="B13" s="22" t="s">
        <v>174</v>
      </c>
      <c r="C13" s="40">
        <f>'3. Driftsomkostninger'!C18</f>
        <v>24087390.187308479</v>
      </c>
      <c r="D13" s="153" t="s">
        <v>0</v>
      </c>
      <c r="E13" s="26"/>
    </row>
    <row r="14" spans="1:5" ht="14.1" customHeight="1" x14ac:dyDescent="0.25">
      <c r="A14" s="26"/>
      <c r="B14" s="22" t="s">
        <v>40</v>
      </c>
      <c r="C14" s="212">
        <v>0</v>
      </c>
      <c r="D14" s="153" t="s">
        <v>15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5</v>
      </c>
      <c r="C18" s="152"/>
      <c r="D18" s="152"/>
      <c r="E18" s="26"/>
    </row>
    <row r="19" spans="1:5" ht="26.25" x14ac:dyDescent="0.25">
      <c r="A19" s="26"/>
      <c r="B19" s="22" t="s">
        <v>180</v>
      </c>
      <c r="C19" s="218">
        <v>5065897.8640174922</v>
      </c>
      <c r="D19" s="153" t="s">
        <v>0</v>
      </c>
      <c r="E19" s="26"/>
    </row>
    <row r="20" spans="1:5" ht="14.1" customHeight="1" x14ac:dyDescent="0.25">
      <c r="A20" s="26"/>
      <c r="B20" s="28" t="s">
        <v>185</v>
      </c>
      <c r="C20" s="27">
        <v>1077851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Furesø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S027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125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17</v>
      </c>
      <c r="C6" s="152"/>
      <c r="D6" s="152"/>
      <c r="E6" s="26"/>
    </row>
    <row r="7" spans="1:5" ht="14.1" customHeight="1" x14ac:dyDescent="0.25">
      <c r="A7" s="26"/>
      <c r="B7" s="22" t="s">
        <v>22</v>
      </c>
      <c r="C7" s="19">
        <v>877309250</v>
      </c>
      <c r="D7" s="153" t="s">
        <v>0</v>
      </c>
      <c r="E7" s="26"/>
    </row>
    <row r="8" spans="1:5" ht="14.1" customHeight="1" x14ac:dyDescent="0.25">
      <c r="A8" s="26"/>
      <c r="B8" s="22" t="s">
        <v>45</v>
      </c>
      <c r="C8" s="40">
        <v>23144414</v>
      </c>
      <c r="D8" s="153" t="s">
        <v>0</v>
      </c>
      <c r="E8" s="26"/>
    </row>
    <row r="9" spans="1:5" ht="14.1" customHeight="1" x14ac:dyDescent="0.25">
      <c r="A9" s="26"/>
      <c r="B9" s="28" t="s">
        <v>128</v>
      </c>
      <c r="C9" s="27">
        <f>C8</f>
        <v>23144414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1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Furesø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S027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129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134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49</v>
      </c>
      <c r="D7" s="211" t="s">
        <v>53</v>
      </c>
      <c r="E7" s="211" t="s">
        <v>52</v>
      </c>
      <c r="F7" s="264" t="s">
        <v>51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204</v>
      </c>
      <c r="D8" s="31" t="s">
        <v>205</v>
      </c>
      <c r="E8" s="32">
        <v>977245</v>
      </c>
      <c r="F8" s="34">
        <f t="shared" ref="F8" si="0">E8/D8</f>
        <v>13029.933333333332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204</v>
      </c>
      <c r="D9" s="31" t="s">
        <v>205</v>
      </c>
      <c r="E9" s="32">
        <v>703417</v>
      </c>
      <c r="F9" s="34">
        <f t="shared" ref="F9:F30" si="1">E9/D9</f>
        <v>9378.8933333333334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204</v>
      </c>
      <c r="D10" s="31" t="s">
        <v>206</v>
      </c>
      <c r="E10" s="32">
        <v>6262876</v>
      </c>
      <c r="F10" s="34">
        <f t="shared" si="1"/>
        <v>125257.52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204</v>
      </c>
      <c r="D11" s="31" t="s">
        <v>206</v>
      </c>
      <c r="E11" s="32">
        <v>3813956</v>
      </c>
      <c r="F11" s="34">
        <f t="shared" si="1"/>
        <v>76279.12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 t="s">
        <v>204</v>
      </c>
      <c r="D12" s="31" t="s">
        <v>206</v>
      </c>
      <c r="E12" s="32">
        <v>1548281</v>
      </c>
      <c r="F12" s="34">
        <f t="shared" si="1"/>
        <v>30965.62</v>
      </c>
      <c r="G12" s="35" t="s">
        <v>0</v>
      </c>
      <c r="H12" s="26"/>
    </row>
    <row r="13" spans="1:8" s="150" customFormat="1" x14ac:dyDescent="0.25">
      <c r="A13" s="26"/>
      <c r="B13" s="29" t="s">
        <v>193</v>
      </c>
      <c r="C13" s="30" t="s">
        <v>204</v>
      </c>
      <c r="D13" s="31" t="s">
        <v>206</v>
      </c>
      <c r="E13" s="32">
        <v>711840</v>
      </c>
      <c r="F13" s="34">
        <f t="shared" si="1"/>
        <v>14236.8</v>
      </c>
      <c r="G13" s="35" t="s">
        <v>0</v>
      </c>
      <c r="H13" s="26"/>
    </row>
    <row r="14" spans="1:8" s="150" customFormat="1" x14ac:dyDescent="0.25">
      <c r="A14" s="26"/>
      <c r="B14" s="29" t="s">
        <v>194</v>
      </c>
      <c r="C14" s="30" t="s">
        <v>204</v>
      </c>
      <c r="D14" s="31" t="s">
        <v>205</v>
      </c>
      <c r="E14" s="32">
        <v>1241138</v>
      </c>
      <c r="F14" s="34">
        <f t="shared" si="1"/>
        <v>16548.506666666668</v>
      </c>
      <c r="G14" s="35" t="s">
        <v>0</v>
      </c>
      <c r="H14" s="26"/>
    </row>
    <row r="15" spans="1:8" s="150" customFormat="1" x14ac:dyDescent="0.25">
      <c r="A15" s="26"/>
      <c r="B15" s="29" t="s">
        <v>195</v>
      </c>
      <c r="C15" s="30" t="s">
        <v>204</v>
      </c>
      <c r="D15" s="31" t="s">
        <v>205</v>
      </c>
      <c r="E15" s="32">
        <v>2864901</v>
      </c>
      <c r="F15" s="34">
        <f t="shared" si="1"/>
        <v>38198.68</v>
      </c>
      <c r="G15" s="35" t="s">
        <v>0</v>
      </c>
      <c r="H15" s="26"/>
    </row>
    <row r="16" spans="1:8" s="150" customFormat="1" x14ac:dyDescent="0.25">
      <c r="A16" s="26"/>
      <c r="B16" s="29" t="s">
        <v>196</v>
      </c>
      <c r="C16" s="30" t="s">
        <v>204</v>
      </c>
      <c r="D16" s="31" t="s">
        <v>206</v>
      </c>
      <c r="E16" s="32">
        <v>34000</v>
      </c>
      <c r="F16" s="34">
        <f t="shared" si="1"/>
        <v>680</v>
      </c>
      <c r="G16" s="35" t="s">
        <v>0</v>
      </c>
      <c r="H16" s="26"/>
    </row>
    <row r="17" spans="1:8" s="150" customFormat="1" x14ac:dyDescent="0.25">
      <c r="A17" s="26"/>
      <c r="B17" s="29" t="s">
        <v>197</v>
      </c>
      <c r="C17" s="30" t="s">
        <v>204</v>
      </c>
      <c r="D17" s="31" t="s">
        <v>207</v>
      </c>
      <c r="E17" s="32">
        <v>35000</v>
      </c>
      <c r="F17" s="34">
        <f t="shared" si="1"/>
        <v>1750</v>
      </c>
      <c r="G17" s="35" t="s">
        <v>0</v>
      </c>
      <c r="H17" s="26"/>
    </row>
    <row r="18" spans="1:8" s="150" customFormat="1" x14ac:dyDescent="0.25">
      <c r="A18" s="26"/>
      <c r="B18" s="29" t="s">
        <v>198</v>
      </c>
      <c r="C18" s="30" t="s">
        <v>204</v>
      </c>
      <c r="D18" s="31" t="s">
        <v>208</v>
      </c>
      <c r="E18" s="32">
        <v>23176</v>
      </c>
      <c r="F18" s="34">
        <f t="shared" si="1"/>
        <v>2317.6</v>
      </c>
      <c r="G18" s="35" t="s">
        <v>0</v>
      </c>
      <c r="H18" s="26"/>
    </row>
    <row r="19" spans="1:8" s="150" customFormat="1" x14ac:dyDescent="0.25">
      <c r="A19" s="26"/>
      <c r="B19" s="29" t="s">
        <v>199</v>
      </c>
      <c r="C19" s="30" t="s">
        <v>204</v>
      </c>
      <c r="D19" s="31" t="s">
        <v>205</v>
      </c>
      <c r="E19" s="32">
        <v>126088</v>
      </c>
      <c r="F19" s="34">
        <f t="shared" si="1"/>
        <v>1681.1733333333334</v>
      </c>
      <c r="G19" s="35" t="s">
        <v>0</v>
      </c>
      <c r="H19" s="26"/>
    </row>
    <row r="20" spans="1:8" s="150" customFormat="1" x14ac:dyDescent="0.25">
      <c r="A20" s="26"/>
      <c r="B20" s="29" t="s">
        <v>200</v>
      </c>
      <c r="C20" s="30" t="s">
        <v>204</v>
      </c>
      <c r="D20" s="31" t="s">
        <v>207</v>
      </c>
      <c r="E20" s="32">
        <v>630442</v>
      </c>
      <c r="F20" s="34">
        <f t="shared" si="1"/>
        <v>31522.1</v>
      </c>
      <c r="G20" s="35" t="s">
        <v>0</v>
      </c>
      <c r="H20" s="26"/>
    </row>
    <row r="21" spans="1:8" s="150" customFormat="1" x14ac:dyDescent="0.25">
      <c r="A21" s="26"/>
      <c r="B21" s="29" t="s">
        <v>201</v>
      </c>
      <c r="C21" s="30" t="s">
        <v>204</v>
      </c>
      <c r="D21" s="31" t="s">
        <v>207</v>
      </c>
      <c r="E21" s="32">
        <v>1136720</v>
      </c>
      <c r="F21" s="34">
        <f t="shared" si="1"/>
        <v>56836</v>
      </c>
      <c r="G21" s="35" t="s">
        <v>0</v>
      </c>
      <c r="H21" s="26"/>
    </row>
    <row r="22" spans="1:8" s="150" customFormat="1" x14ac:dyDescent="0.25">
      <c r="A22" s="26"/>
      <c r="B22" s="29" t="s">
        <v>202</v>
      </c>
      <c r="C22" s="30" t="s">
        <v>204</v>
      </c>
      <c r="D22" s="31" t="s">
        <v>208</v>
      </c>
      <c r="E22" s="32">
        <v>630442</v>
      </c>
      <c r="F22" s="34">
        <f t="shared" si="1"/>
        <v>63044.2</v>
      </c>
      <c r="G22" s="35" t="s">
        <v>0</v>
      </c>
      <c r="H22" s="26"/>
    </row>
    <row r="23" spans="1:8" s="150" customFormat="1" x14ac:dyDescent="0.25">
      <c r="A23" s="26"/>
      <c r="B23" s="29" t="s">
        <v>203</v>
      </c>
      <c r="C23" s="30" t="s">
        <v>204</v>
      </c>
      <c r="D23" s="31" t="s">
        <v>209</v>
      </c>
      <c r="E23" s="32">
        <v>205569</v>
      </c>
      <c r="F23" s="34">
        <f t="shared" si="1"/>
        <v>41113.800000000003</v>
      </c>
      <c r="G23" s="35" t="s">
        <v>0</v>
      </c>
      <c r="H23" s="26"/>
    </row>
    <row r="24" spans="1:8" s="150" customFormat="1" x14ac:dyDescent="0.25">
      <c r="A24" s="26"/>
      <c r="B24" s="29" t="s">
        <v>211</v>
      </c>
      <c r="C24" s="30" t="s">
        <v>204</v>
      </c>
      <c r="D24" s="31" t="s">
        <v>209</v>
      </c>
      <c r="E24" s="32">
        <v>746472</v>
      </c>
      <c r="F24" s="34">
        <f t="shared" si="1"/>
        <v>149294.39999999999</v>
      </c>
      <c r="G24" s="35" t="s">
        <v>0</v>
      </c>
      <c r="H24" s="26"/>
    </row>
    <row r="25" spans="1:8" s="150" customFormat="1" x14ac:dyDescent="0.25">
      <c r="A25" s="26"/>
      <c r="B25" s="29" t="s">
        <v>212</v>
      </c>
      <c r="C25" s="30" t="s">
        <v>204</v>
      </c>
      <c r="D25" s="31" t="s">
        <v>209</v>
      </c>
      <c r="E25" s="32">
        <v>62270</v>
      </c>
      <c r="F25" s="34">
        <f t="shared" si="1"/>
        <v>12454</v>
      </c>
      <c r="G25" s="35" t="s">
        <v>0</v>
      </c>
      <c r="H25" s="26"/>
    </row>
    <row r="26" spans="1:8" s="150" customFormat="1" x14ac:dyDescent="0.25">
      <c r="A26" s="26"/>
      <c r="B26" s="29" t="s">
        <v>213</v>
      </c>
      <c r="C26" s="30" t="s">
        <v>204</v>
      </c>
      <c r="D26" s="31" t="s">
        <v>208</v>
      </c>
      <c r="E26" s="32">
        <v>310368</v>
      </c>
      <c r="F26" s="34">
        <f t="shared" si="1"/>
        <v>31036.799999999999</v>
      </c>
      <c r="G26" s="35" t="s">
        <v>0</v>
      </c>
      <c r="H26" s="26"/>
    </row>
    <row r="27" spans="1:8" s="150" customFormat="1" x14ac:dyDescent="0.25">
      <c r="A27" s="26"/>
      <c r="B27" s="29" t="s">
        <v>214</v>
      </c>
      <c r="C27" s="30" t="s">
        <v>204</v>
      </c>
      <c r="D27" s="31" t="s">
        <v>207</v>
      </c>
      <c r="E27" s="32">
        <v>192635</v>
      </c>
      <c r="F27" s="34">
        <f t="shared" si="1"/>
        <v>9631.75</v>
      </c>
      <c r="G27" s="35" t="s">
        <v>0</v>
      </c>
      <c r="H27" s="26"/>
    </row>
    <row r="28" spans="1:8" s="150" customFormat="1" x14ac:dyDescent="0.25">
      <c r="A28" s="26"/>
      <c r="B28" s="29" t="s">
        <v>215</v>
      </c>
      <c r="C28" s="30" t="s">
        <v>204</v>
      </c>
      <c r="D28" s="31" t="s">
        <v>208</v>
      </c>
      <c r="E28" s="32">
        <v>60705</v>
      </c>
      <c r="F28" s="34">
        <f t="shared" si="1"/>
        <v>6070.5</v>
      </c>
      <c r="G28" s="35" t="s">
        <v>0</v>
      </c>
      <c r="H28" s="26"/>
    </row>
    <row r="29" spans="1:8" s="150" customFormat="1" x14ac:dyDescent="0.25">
      <c r="A29" s="26"/>
      <c r="B29" s="29" t="s">
        <v>216</v>
      </c>
      <c r="C29" s="30" t="s">
        <v>204</v>
      </c>
      <c r="D29" s="31" t="s">
        <v>208</v>
      </c>
      <c r="E29" s="32">
        <v>440557</v>
      </c>
      <c r="F29" s="34">
        <f t="shared" si="1"/>
        <v>44055.7</v>
      </c>
      <c r="G29" s="35" t="s">
        <v>0</v>
      </c>
      <c r="H29" s="26"/>
    </row>
    <row r="30" spans="1:8" s="150" customFormat="1" x14ac:dyDescent="0.25">
      <c r="A30" s="26"/>
      <c r="B30" s="29" t="s">
        <v>194</v>
      </c>
      <c r="C30" s="30" t="s">
        <v>204</v>
      </c>
      <c r="D30" s="31" t="s">
        <v>210</v>
      </c>
      <c r="E30" s="32">
        <v>282000</v>
      </c>
      <c r="F30" s="34">
        <f t="shared" si="1"/>
        <v>6266.666666666667</v>
      </c>
      <c r="G30" s="35" t="s">
        <v>0</v>
      </c>
      <c r="H30" s="26"/>
    </row>
    <row r="31" spans="1:8" s="150" customFormat="1" x14ac:dyDescent="0.25">
      <c r="A31" s="26"/>
      <c r="B31" s="23" t="s">
        <v>71</v>
      </c>
      <c r="C31" s="160"/>
      <c r="D31" s="160"/>
      <c r="E31" s="160"/>
      <c r="F31" s="36">
        <f>SUM(F8:F30)</f>
        <v>781649.76333333319</v>
      </c>
      <c r="G31" s="37" t="s">
        <v>0</v>
      </c>
      <c r="H31" s="26"/>
    </row>
    <row r="32" spans="1:8" s="150" customFormat="1" x14ac:dyDescent="0.25">
      <c r="A32" s="26"/>
      <c r="B32" s="107" t="s">
        <v>135</v>
      </c>
      <c r="C32" s="161"/>
      <c r="D32" s="161"/>
      <c r="E32" s="161"/>
      <c r="F32" s="66">
        <v>1890461.83</v>
      </c>
      <c r="G32" s="37" t="s">
        <v>0</v>
      </c>
      <c r="H32" s="26"/>
    </row>
    <row r="33" spans="1:8" s="150" customFormat="1" x14ac:dyDescent="0.25">
      <c r="A33" s="26"/>
      <c r="B33" s="39" t="s">
        <v>68</v>
      </c>
      <c r="C33" s="162"/>
      <c r="D33" s="162"/>
      <c r="E33" s="163"/>
      <c r="F33" s="38">
        <f>F31+F32</f>
        <v>2672111.5933333333</v>
      </c>
      <c r="G33" s="38" t="s">
        <v>0</v>
      </c>
      <c r="H33" s="26"/>
    </row>
    <row r="34" spans="1:8" s="150" customFormat="1" x14ac:dyDescent="0.25">
      <c r="A34" s="26"/>
      <c r="B34" s="26"/>
      <c r="C34" s="26"/>
      <c r="D34" s="26"/>
      <c r="E34" s="26"/>
      <c r="F34" s="26"/>
      <c r="G34" s="26"/>
      <c r="H34" s="26"/>
    </row>
    <row r="35" spans="1:8" s="150" customFormat="1" x14ac:dyDescent="0.25">
      <c r="A35" s="26"/>
      <c r="B35" s="26"/>
      <c r="C35" s="26"/>
      <c r="D35" s="26"/>
      <c r="E35" s="26"/>
      <c r="F35" s="26"/>
      <c r="G35" s="26"/>
      <c r="H35" s="26"/>
    </row>
    <row r="36" spans="1:8" s="150" customFormat="1" x14ac:dyDescent="0.25">
      <c r="A36" s="26"/>
      <c r="B36" s="26"/>
      <c r="C36" s="26"/>
      <c r="D36" s="26"/>
      <c r="E36" s="26"/>
      <c r="F36" s="26"/>
      <c r="G36" s="26"/>
      <c r="H36" s="26"/>
    </row>
    <row r="37" spans="1:8" s="150" customFormat="1" hidden="1" x14ac:dyDescent="0.25"/>
    <row r="38" spans="1:8" s="150" customFormat="1" hidden="1" x14ac:dyDescent="0.25"/>
    <row r="39" spans="1:8" s="150" customFormat="1" hidden="1" x14ac:dyDescent="0.25"/>
    <row r="40" spans="1:8" s="150" customFormat="1" ht="14.45" hidden="1" customHeight="1" x14ac:dyDescent="0.25"/>
    <row r="41" spans="1:8" s="150" customFormat="1" ht="14.45" hidden="1" customHeight="1" x14ac:dyDescent="0.25"/>
    <row r="42" spans="1:8" s="150" customFormat="1" ht="15" hidden="1" customHeight="1" x14ac:dyDescent="0.25"/>
    <row r="43" spans="1:8" s="150" customFormat="1" ht="15" hidden="1" customHeight="1" x14ac:dyDescent="0.25"/>
    <row r="44" spans="1:8" s="150" customFormat="1" ht="15" hidden="1" customHeight="1" x14ac:dyDescent="0.25"/>
    <row r="45" spans="1:8" s="150" customFormat="1" ht="15" hidden="1" customHeight="1" x14ac:dyDescent="0.25"/>
    <row r="46" spans="1:8" s="150" customFormat="1" ht="15" hidden="1" customHeight="1" x14ac:dyDescent="0.25"/>
    <row r="47" spans="1:8" s="150" customFormat="1" hidden="1" x14ac:dyDescent="0.25"/>
    <row r="48" spans="1: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Furesø Spildevand AS</v>
      </c>
      <c r="B1" s="164"/>
      <c r="C1" s="164"/>
      <c r="D1" s="164"/>
      <c r="E1" s="164"/>
    </row>
    <row r="2" spans="1:5" x14ac:dyDescent="0.25">
      <c r="A2" s="1" t="str">
        <f>'1. Forside'!A2</f>
        <v>S027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124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136</v>
      </c>
      <c r="C6" s="165"/>
      <c r="D6" s="165"/>
      <c r="E6" s="164"/>
    </row>
    <row r="7" spans="1:5" x14ac:dyDescent="0.25">
      <c r="A7" s="164"/>
      <c r="B7" s="108" t="s">
        <v>137</v>
      </c>
      <c r="C7" s="19">
        <v>696000</v>
      </c>
      <c r="D7" s="153" t="s">
        <v>0</v>
      </c>
      <c r="E7" s="164"/>
    </row>
    <row r="8" spans="1:5" x14ac:dyDescent="0.25">
      <c r="A8" s="164"/>
      <c r="B8" s="108" t="s">
        <v>138</v>
      </c>
      <c r="C8" s="19">
        <v>606167</v>
      </c>
      <c r="D8" s="153" t="s">
        <v>0</v>
      </c>
      <c r="E8" s="164"/>
    </row>
    <row r="9" spans="1:5" ht="15" customHeight="1" x14ac:dyDescent="0.25">
      <c r="A9" s="164"/>
      <c r="B9" s="108" t="s">
        <v>139</v>
      </c>
      <c r="C9" s="40">
        <f>'6. Gennemførte investeringer'!F31</f>
        <v>781649.76333333319</v>
      </c>
      <c r="D9" s="153" t="s">
        <v>0</v>
      </c>
      <c r="E9" s="164"/>
    </row>
    <row r="10" spans="1:5" x14ac:dyDescent="0.25">
      <c r="A10" s="164"/>
      <c r="B10" s="28" t="s">
        <v>136</v>
      </c>
      <c r="C10" s="21">
        <f>C9-C7+C9-C8</f>
        <v>261132.52666666638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0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Furesø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S027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123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50</v>
      </c>
      <c r="C7" s="211" t="s">
        <v>49</v>
      </c>
      <c r="D7" s="211" t="s">
        <v>53</v>
      </c>
      <c r="E7" s="211" t="s">
        <v>54</v>
      </c>
      <c r="F7" s="264" t="s">
        <v>55</v>
      </c>
      <c r="G7" s="264"/>
      <c r="H7" s="26"/>
    </row>
    <row r="8" spans="1:8" s="150" customFormat="1" x14ac:dyDescent="0.25">
      <c r="A8" s="26"/>
      <c r="B8" s="29" t="s">
        <v>188</v>
      </c>
      <c r="C8" s="30">
        <v>2015</v>
      </c>
      <c r="D8" s="31">
        <v>75</v>
      </c>
      <c r="E8" s="32">
        <v>7991925</v>
      </c>
      <c r="F8" s="45">
        <f>E8/D8</f>
        <v>106559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>
        <v>2015</v>
      </c>
      <c r="D9" s="31">
        <v>75</v>
      </c>
      <c r="E9" s="32">
        <v>4334332</v>
      </c>
      <c r="F9" s="45">
        <f t="shared" ref="F9:F17" si="0">E9/D9</f>
        <v>57791.093333333331</v>
      </c>
      <c r="G9" s="35" t="s">
        <v>0</v>
      </c>
      <c r="H9" s="26"/>
    </row>
    <row r="10" spans="1:8" s="150" customFormat="1" x14ac:dyDescent="0.25">
      <c r="A10" s="26"/>
      <c r="B10" s="29" t="s">
        <v>217</v>
      </c>
      <c r="C10" s="30">
        <v>2015</v>
      </c>
      <c r="D10" s="31">
        <v>75</v>
      </c>
      <c r="E10" s="32">
        <v>4222954</v>
      </c>
      <c r="F10" s="45">
        <f t="shared" si="0"/>
        <v>56306.053333333337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>
        <v>2015</v>
      </c>
      <c r="D11" s="31">
        <v>50</v>
      </c>
      <c r="E11" s="32">
        <v>11777512</v>
      </c>
      <c r="F11" s="45">
        <f t="shared" si="0"/>
        <v>235550.24</v>
      </c>
      <c r="G11" s="35" t="s">
        <v>0</v>
      </c>
      <c r="H11" s="26"/>
    </row>
    <row r="12" spans="1:8" s="150" customFormat="1" x14ac:dyDescent="0.25">
      <c r="A12" s="26"/>
      <c r="B12" s="29" t="s">
        <v>218</v>
      </c>
      <c r="C12" s="30">
        <v>2015</v>
      </c>
      <c r="D12" s="31">
        <v>20</v>
      </c>
      <c r="E12" s="32">
        <v>867590</v>
      </c>
      <c r="F12" s="45">
        <f t="shared" si="0"/>
        <v>43379.5</v>
      </c>
      <c r="G12" s="35" t="s">
        <v>0</v>
      </c>
      <c r="H12" s="26"/>
    </row>
    <row r="13" spans="1:8" s="150" customFormat="1" x14ac:dyDescent="0.25">
      <c r="A13" s="26"/>
      <c r="B13" s="29" t="s">
        <v>219</v>
      </c>
      <c r="C13" s="30">
        <v>2015</v>
      </c>
      <c r="D13" s="31">
        <v>20</v>
      </c>
      <c r="E13" s="32">
        <v>3529275</v>
      </c>
      <c r="F13" s="45">
        <f t="shared" si="0"/>
        <v>176463.75</v>
      </c>
      <c r="G13" s="35" t="s">
        <v>0</v>
      </c>
      <c r="H13" s="26"/>
    </row>
    <row r="14" spans="1:8" s="150" customFormat="1" x14ac:dyDescent="0.25">
      <c r="A14" s="26"/>
      <c r="B14" s="29" t="s">
        <v>220</v>
      </c>
      <c r="C14" s="30">
        <v>2015</v>
      </c>
      <c r="D14" s="31">
        <v>60</v>
      </c>
      <c r="E14" s="32">
        <v>2416710</v>
      </c>
      <c r="F14" s="45">
        <f t="shared" si="0"/>
        <v>40278.5</v>
      </c>
      <c r="G14" s="35" t="s">
        <v>0</v>
      </c>
      <c r="H14" s="26"/>
    </row>
    <row r="15" spans="1:8" s="150" customFormat="1" x14ac:dyDescent="0.25">
      <c r="A15" s="26"/>
      <c r="B15" s="29" t="s">
        <v>188</v>
      </c>
      <c r="C15" s="30">
        <v>2016</v>
      </c>
      <c r="D15" s="31">
        <v>75</v>
      </c>
      <c r="E15" s="32">
        <v>880000</v>
      </c>
      <c r="F15" s="45">
        <f t="shared" si="0"/>
        <v>11733.333333333334</v>
      </c>
      <c r="G15" s="35" t="s">
        <v>0</v>
      </c>
      <c r="H15" s="26"/>
    </row>
    <row r="16" spans="1:8" s="150" customFormat="1" x14ac:dyDescent="0.25">
      <c r="A16" s="26"/>
      <c r="B16" s="29" t="s">
        <v>191</v>
      </c>
      <c r="C16" s="30">
        <v>2016</v>
      </c>
      <c r="D16" s="31">
        <v>50</v>
      </c>
      <c r="E16" s="32">
        <v>13000000</v>
      </c>
      <c r="F16" s="45">
        <f t="shared" si="0"/>
        <v>260000</v>
      </c>
      <c r="G16" s="35" t="s">
        <v>0</v>
      </c>
      <c r="H16" s="26"/>
    </row>
    <row r="17" spans="1:8" s="150" customFormat="1" x14ac:dyDescent="0.25">
      <c r="A17" s="26"/>
      <c r="B17" s="29" t="s">
        <v>221</v>
      </c>
      <c r="C17" s="30">
        <v>2016</v>
      </c>
      <c r="D17" s="31">
        <v>50</v>
      </c>
      <c r="E17" s="32">
        <v>5230000</v>
      </c>
      <c r="F17" s="45">
        <f t="shared" si="0"/>
        <v>104600</v>
      </c>
      <c r="G17" s="35" t="s">
        <v>0</v>
      </c>
      <c r="H17" s="26"/>
    </row>
    <row r="18" spans="1:8" s="150" customFormat="1" x14ac:dyDescent="0.25">
      <c r="A18" s="26"/>
      <c r="B18" s="109" t="s">
        <v>72</v>
      </c>
      <c r="C18" s="167"/>
      <c r="D18" s="168"/>
      <c r="E18" s="169"/>
      <c r="F18" s="46">
        <f>SUMIF(C8:C17,"2015",F8:F17)</f>
        <v>716328.13666666672</v>
      </c>
      <c r="G18" s="47" t="s">
        <v>0</v>
      </c>
      <c r="H18" s="26"/>
    </row>
    <row r="19" spans="1:8" s="150" customFormat="1" x14ac:dyDescent="0.25">
      <c r="A19" s="26"/>
      <c r="B19" s="107" t="s">
        <v>133</v>
      </c>
      <c r="C19" s="170"/>
      <c r="D19" s="171"/>
      <c r="E19" s="172"/>
      <c r="F19" s="46">
        <f>SUMIF(C8:C17,"2016",F8:F17)</f>
        <v>376333.33333333331</v>
      </c>
      <c r="G19" s="47" t="s">
        <v>0</v>
      </c>
      <c r="H19" s="26"/>
    </row>
    <row r="20" spans="1:8" s="150" customFormat="1" x14ac:dyDescent="0.25">
      <c r="A20" s="26"/>
      <c r="B20" s="50" t="s">
        <v>35</v>
      </c>
      <c r="C20" s="173"/>
      <c r="D20" s="174"/>
      <c r="E20" s="174"/>
      <c r="F20" s="48">
        <f>F18+F19</f>
        <v>1092661.47</v>
      </c>
      <c r="G20" s="49" t="s">
        <v>0</v>
      </c>
      <c r="H20" s="26"/>
    </row>
    <row r="21" spans="1:8" s="150" customFormat="1" x14ac:dyDescent="0.25">
      <c r="A21" s="26"/>
      <c r="B21" s="26"/>
      <c r="C21" s="166"/>
      <c r="D21" s="26"/>
      <c r="E21" s="26"/>
      <c r="F21" s="26"/>
      <c r="G21" s="26"/>
      <c r="H21" s="26"/>
    </row>
    <row r="22" spans="1:8" s="150" customFormat="1" x14ac:dyDescent="0.25">
      <c r="A22" s="26"/>
      <c r="B22" s="26"/>
      <c r="C22" s="166"/>
      <c r="D22" s="26"/>
      <c r="E22" s="26"/>
      <c r="F22" s="26"/>
      <c r="G22" s="26"/>
      <c r="H22" s="26"/>
    </row>
    <row r="23" spans="1:8" s="150" customFormat="1" x14ac:dyDescent="0.25">
      <c r="A23" s="26"/>
      <c r="B23" s="26"/>
      <c r="C23" s="166"/>
      <c r="D23" s="26"/>
      <c r="E23" s="26"/>
      <c r="F23" s="175"/>
      <c r="G23" s="175"/>
      <c r="H23" s="26"/>
    </row>
    <row r="24" spans="1:8" s="150" customFormat="1" hidden="1" x14ac:dyDescent="0.25">
      <c r="C24" s="176"/>
    </row>
    <row r="25" spans="1:8" s="150" customFormat="1" hidden="1" x14ac:dyDescent="0.25">
      <c r="C25" s="176"/>
    </row>
    <row r="26" spans="1:8" s="150" customFormat="1" hidden="1" x14ac:dyDescent="0.25">
      <c r="C26" s="17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t="12" hidden="1" customHeight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Furesø Spildevand AS</v>
      </c>
      <c r="B1" s="56"/>
      <c r="C1" s="56"/>
      <c r="D1" s="178"/>
      <c r="E1" s="56"/>
    </row>
    <row r="2" spans="1:5" x14ac:dyDescent="0.25">
      <c r="A2" s="222" t="str">
        <f>'1. Forside'!A2</f>
        <v>S027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122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143</v>
      </c>
      <c r="C6" s="180"/>
      <c r="D6" s="181"/>
      <c r="E6" s="56"/>
    </row>
    <row r="7" spans="1:5" x14ac:dyDescent="0.25">
      <c r="A7" s="56"/>
      <c r="B7" s="207" t="s">
        <v>12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222</v>
      </c>
      <c r="C8" s="51">
        <v>600000</v>
      </c>
      <c r="D8" s="182" t="s">
        <v>0</v>
      </c>
      <c r="E8" s="56"/>
    </row>
    <row r="9" spans="1:5" x14ac:dyDescent="0.25">
      <c r="A9" s="56"/>
      <c r="B9" s="207" t="s">
        <v>223</v>
      </c>
      <c r="C9" s="51">
        <v>75000</v>
      </c>
      <c r="D9" s="182" t="s">
        <v>0</v>
      </c>
      <c r="E9" s="56"/>
    </row>
    <row r="10" spans="1:5" x14ac:dyDescent="0.25">
      <c r="A10" s="56"/>
      <c r="B10" s="207" t="s">
        <v>224</v>
      </c>
      <c r="C10" s="51">
        <v>8350000</v>
      </c>
      <c r="D10" s="182" t="s">
        <v>0</v>
      </c>
      <c r="E10" s="56"/>
    </row>
    <row r="11" spans="1:5" x14ac:dyDescent="0.25">
      <c r="A11" s="56"/>
      <c r="B11" s="54" t="s">
        <v>34</v>
      </c>
      <c r="C11" s="55">
        <f>SUM(C7:C10)</f>
        <v>9058000</v>
      </c>
      <c r="D11" s="54" t="s">
        <v>0</v>
      </c>
      <c r="E11" s="56"/>
    </row>
    <row r="12" spans="1:5" x14ac:dyDescent="0.25">
      <c r="A12" s="56"/>
      <c r="B12" s="56"/>
      <c r="C12" s="56"/>
      <c r="D12" s="178"/>
      <c r="E12" s="56"/>
    </row>
    <row r="13" spans="1:5" x14ac:dyDescent="0.25">
      <c r="A13" s="56"/>
      <c r="B13" s="56"/>
      <c r="C13" s="56"/>
      <c r="D13" s="178"/>
      <c r="E13" s="56"/>
    </row>
    <row r="14" spans="1:5" ht="38.25" customHeight="1" x14ac:dyDescent="0.25">
      <c r="A14" s="56"/>
      <c r="B14" s="266" t="s">
        <v>144</v>
      </c>
      <c r="C14" s="267"/>
      <c r="D14" s="268"/>
      <c r="E14" s="56"/>
    </row>
    <row r="15" spans="1:5" x14ac:dyDescent="0.25">
      <c r="A15" s="56"/>
      <c r="B15" s="53" t="s">
        <v>70</v>
      </c>
      <c r="C15" s="51">
        <v>80000</v>
      </c>
      <c r="D15" s="182" t="s">
        <v>0</v>
      </c>
      <c r="E15" s="56"/>
    </row>
    <row r="16" spans="1:5" x14ac:dyDescent="0.25">
      <c r="A16" s="56"/>
      <c r="B16" s="53" t="s">
        <v>13</v>
      </c>
      <c r="C16" s="51">
        <v>18000</v>
      </c>
      <c r="D16" s="182" t="s">
        <v>0</v>
      </c>
      <c r="E16" s="56"/>
    </row>
    <row r="17" spans="1:5" x14ac:dyDescent="0.25">
      <c r="A17" s="56"/>
      <c r="B17" s="54" t="s">
        <v>34</v>
      </c>
      <c r="C17" s="55">
        <f>SUM(C15:C16)</f>
        <v>98000</v>
      </c>
      <c r="D17" s="54" t="s">
        <v>0</v>
      </c>
      <c r="E17" s="56"/>
    </row>
    <row r="18" spans="1:5" x14ac:dyDescent="0.25">
      <c r="A18" s="56"/>
      <c r="B18" s="56"/>
      <c r="C18" s="183"/>
      <c r="D18" s="184"/>
      <c r="E18" s="56"/>
    </row>
    <row r="19" spans="1:5" x14ac:dyDescent="0.25">
      <c r="A19" s="56"/>
      <c r="B19" s="56"/>
      <c r="C19" s="183"/>
      <c r="D19" s="184"/>
      <c r="E19" s="56"/>
    </row>
    <row r="20" spans="1:5" ht="42" customHeight="1" x14ac:dyDescent="0.25">
      <c r="A20" s="56"/>
      <c r="B20" s="269" t="s">
        <v>145</v>
      </c>
      <c r="C20" s="270"/>
      <c r="D20" s="271"/>
      <c r="E20" s="56"/>
    </row>
    <row r="21" spans="1:5" x14ac:dyDescent="0.25">
      <c r="A21" s="56"/>
      <c r="B21" s="108" t="s">
        <v>146</v>
      </c>
      <c r="C21" s="19">
        <v>8480698</v>
      </c>
      <c r="D21" s="58" t="s">
        <v>0</v>
      </c>
      <c r="E21" s="56"/>
    </row>
    <row r="22" spans="1:5" x14ac:dyDescent="0.25">
      <c r="A22" s="56"/>
      <c r="B22" s="108" t="s">
        <v>147</v>
      </c>
      <c r="C22" s="40">
        <v>9062500</v>
      </c>
      <c r="D22" s="58" t="s">
        <v>0</v>
      </c>
      <c r="E22" s="56"/>
    </row>
    <row r="23" spans="1:5" x14ac:dyDescent="0.25">
      <c r="A23" s="56"/>
      <c r="B23" s="28" t="s">
        <v>148</v>
      </c>
      <c r="C23" s="55">
        <f>C21-C22</f>
        <v>-581802</v>
      </c>
      <c r="D23" s="28" t="s">
        <v>0</v>
      </c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2015-10-01T11:59:42Z</dcterms:modified>
</cp:coreProperties>
</file>