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875" yWindow="75" windowWidth="20730" windowHeight="1278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3" i="6"/>
  <c r="E12" i="6"/>
  <c r="E11" i="6"/>
  <c r="E10" i="6"/>
  <c r="E9" i="6"/>
  <c r="E15" i="5"/>
  <c r="E13" i="5"/>
  <c r="E12" i="5"/>
  <c r="E11" i="5"/>
  <c r="E10" i="5"/>
  <c r="E9" i="5"/>
  <c r="E15" i="4"/>
  <c r="E13" i="4"/>
  <c r="E12" i="4"/>
  <c r="E11" i="4"/>
  <c r="E10" i="4"/>
  <c r="E9" i="4"/>
  <c r="E12" i="2"/>
  <c r="G11" i="9"/>
  <c r="G10" i="9"/>
  <c r="G36" i="13"/>
  <c r="E35" i="13" l="1"/>
  <c r="G35" i="13" s="1"/>
  <c r="E27" i="13"/>
  <c r="E19" i="13"/>
  <c r="E15" i="13"/>
  <c r="G11" i="12"/>
  <c r="G29" i="12"/>
  <c r="E19" i="2" s="1"/>
  <c r="G23" i="12"/>
  <c r="G17" i="12"/>
  <c r="F11" i="11"/>
  <c r="F10" i="11"/>
  <c r="G13" i="10"/>
  <c r="E14" i="2" s="1"/>
  <c r="G14" i="2" s="1"/>
  <c r="G12" i="7"/>
  <c r="G15" i="6"/>
  <c r="G13" i="6"/>
  <c r="G16" i="6" s="1"/>
  <c r="G13" i="5"/>
  <c r="G15" i="5"/>
  <c r="G15" i="4"/>
  <c r="G13" i="4"/>
  <c r="G16" i="4" s="1"/>
  <c r="E23" i="2"/>
  <c r="G23" i="2" s="1"/>
  <c r="E18" i="2"/>
  <c r="E17" i="2"/>
  <c r="E16" i="2"/>
  <c r="E10" i="2"/>
  <c r="G16" i="5" l="1"/>
  <c r="E28" i="13"/>
  <c r="G28" i="13" s="1"/>
  <c r="F12" i="11"/>
  <c r="G35" i="12" s="1"/>
  <c r="G36" i="12" s="1"/>
  <c r="E20" i="2" s="1"/>
  <c r="E21" i="2" s="1"/>
  <c r="G21" i="2" s="1"/>
  <c r="G9" i="9"/>
  <c r="E11" i="2" s="1"/>
  <c r="E9" i="2"/>
  <c r="G12" i="2" l="1"/>
  <c r="G24" i="2" s="1"/>
</calcChain>
</file>

<file path=xl/sharedStrings.xml><?xml version="1.0" encoding="utf-8"?>
<sst xmlns="http://schemas.openxmlformats.org/spreadsheetml/2006/main" count="255" uniqueCount="124">
  <si>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</si>
  <si>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</si>
  <si>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</si>
  <si>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</si>
  <si>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</si>
  <si>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</si>
  <si>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</si>
  <si>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</si>
  <si>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</si>
  <si>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</si>
  <si>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</si>
  <si>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</si>
  <si>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</si>
  <si>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</si>
  <si>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</si>
  <si>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</si>
  <si>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</si>
  <si>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</si>
  <si>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</si>
  <si>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</si>
  <si>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</si>
  <si>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</si>
  <si>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</si>
  <si>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</si>
  <si>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</si>
  <si>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</si>
  <si>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</si>
  <si>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</si>
  <si>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</si>
  <si>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</si>
  <si>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</si>
  <si>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</si>
  <si>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</si>
  <si>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</si>
  <si>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</si>
  <si>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</si>
  <si>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</si>
  <si>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</si>
  <si>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</si>
  <si>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</si>
  <si>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</si>
  <si>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</si>
  <si>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</si>
  <si>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</si>
  <si>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</si>
  <si>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</si>
  <si>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</si>
  <si>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</si>
  <si>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</si>
  <si>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</si>
  <si>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</si>
  <si>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</si>
  <si>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</si>
  <si>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</si>
  <si>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</si>
  <si>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</si>
  <si>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</si>
  <si>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</si>
  <si>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</si>
  <si>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</si>
  <si>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</si>
  <si>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</si>
  <si>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</si>
  <si>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</si>
  <si>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</si>
  <si>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</si>
  <si>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</si>
  <si>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</si>
  <si>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</si>
  <si>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</si>
  <si>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</si>
  <si>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</si>
  <si>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</si>
  <si>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</si>
  <si>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</si>
  <si>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</si>
  <si>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</si>
  <si>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</si>
  <si>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</si>
  <si>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</si>
  <si>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</si>
  <si>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</si>
  <si>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</si>
  <si>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</si>
  <si>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</si>
  <si>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</si>
  <si>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</si>
  <si>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</si>
  <si>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</si>
  <si>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</si>
  <si>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</si>
  <si>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</si>
  <si>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</si>
  <si>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</si>
  <si>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</si>
  <si>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</si>
  <si>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</si>
  <si>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</si>
  <si>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</si>
  <si>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</si>
  <si>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</si>
  <si>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</si>
  <si>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</si>
  <si>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</si>
  <si>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</si>
  <si>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</si>
  <si>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</si>
  <si>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</si>
  <si>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</si>
  <si>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</si>
  <si>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</si>
  <si>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</si>
  <si>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</si>
  <si>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</si>
  <si>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</si>
  <si>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 xml:space="preserve">Ø 200 mm &lt; Ledningsnet ≤ Ø 500 mm 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</si>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</sst>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114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95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82</v>
      </c>
      <c r="C9" s="78"/>
      <c r="D9" s="78"/>
      <c r="E9" s="78"/>
      <c r="F9" s="79"/>
      <c r="G9" s="36">
        <v>263839</v>
      </c>
      <c r="H9" s="10" t="s">
        <v>4</v>
      </c>
      <c r="I9" s="1"/>
    </row>
    <row r="10" spans="1:9" x14ac:dyDescent="0.25">
      <c r="A10" s="1"/>
      <c r="B10" s="77" t="s">
        <v>83</v>
      </c>
      <c r="C10" s="78"/>
      <c r="D10" s="78"/>
      <c r="E10" s="78"/>
      <c r="F10" s="79"/>
      <c r="G10" s="36">
        <v>179000</v>
      </c>
      <c r="H10" s="10" t="s">
        <v>4</v>
      </c>
      <c r="I10" s="1"/>
    </row>
    <row r="11" spans="1:9" x14ac:dyDescent="0.25">
      <c r="A11" s="1"/>
      <c r="B11" s="67" t="s">
        <v>84</v>
      </c>
      <c r="C11" s="68"/>
      <c r="D11" s="68"/>
      <c r="E11" s="68"/>
      <c r="F11" s="69"/>
      <c r="G11" s="34">
        <f>G9-G10</f>
        <v>84839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85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86</v>
      </c>
      <c r="C15" s="78"/>
      <c r="D15" s="78"/>
      <c r="E15" s="78"/>
      <c r="F15" s="79"/>
      <c r="G15" s="36">
        <v>3268352</v>
      </c>
      <c r="H15" s="10" t="s">
        <v>4</v>
      </c>
      <c r="I15" s="1"/>
    </row>
    <row r="16" spans="1:9" x14ac:dyDescent="0.25">
      <c r="A16" s="1"/>
      <c r="B16" s="77" t="s">
        <v>87</v>
      </c>
      <c r="C16" s="78"/>
      <c r="D16" s="78"/>
      <c r="E16" s="78"/>
      <c r="F16" s="79"/>
      <c r="G16" s="36">
        <v>3459000</v>
      </c>
      <c r="H16" s="10" t="s">
        <v>4</v>
      </c>
      <c r="I16" s="1"/>
    </row>
    <row r="17" spans="1:9" x14ac:dyDescent="0.25">
      <c r="A17" s="1"/>
      <c r="B17" s="67" t="s">
        <v>88</v>
      </c>
      <c r="C17" s="68"/>
      <c r="D17" s="68"/>
      <c r="E17" s="68"/>
      <c r="F17" s="69"/>
      <c r="G17" s="34">
        <f>G15-G16</f>
        <v>-190648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96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97</v>
      </c>
      <c r="C21" s="78"/>
      <c r="D21" s="78"/>
      <c r="E21" s="78"/>
      <c r="F21" s="79"/>
      <c r="G21" s="36">
        <v>80181</v>
      </c>
      <c r="H21" s="10" t="s">
        <v>4</v>
      </c>
      <c r="I21" s="1"/>
    </row>
    <row r="22" spans="1:9" x14ac:dyDescent="0.25">
      <c r="A22" s="1"/>
      <c r="B22" s="77" t="s">
        <v>99</v>
      </c>
      <c r="C22" s="78"/>
      <c r="D22" s="78"/>
      <c r="E22" s="78"/>
      <c r="F22" s="79"/>
      <c r="G22" s="36">
        <v>100000</v>
      </c>
      <c r="H22" s="10" t="s">
        <v>4</v>
      </c>
      <c r="I22" s="1"/>
    </row>
    <row r="23" spans="1:9" x14ac:dyDescent="0.25">
      <c r="A23" s="1"/>
      <c r="B23" s="67" t="s">
        <v>98</v>
      </c>
      <c r="C23" s="68"/>
      <c r="D23" s="68"/>
      <c r="E23" s="68"/>
      <c r="F23" s="69"/>
      <c r="G23" s="34">
        <f>G21-G22</f>
        <v>-19819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ht="30" customHeight="1" x14ac:dyDescent="0.25">
      <c r="A26" s="1"/>
      <c r="B26" s="89" t="s">
        <v>89</v>
      </c>
      <c r="C26" s="90"/>
      <c r="D26" s="90"/>
      <c r="E26" s="90"/>
      <c r="F26" s="90"/>
      <c r="G26" s="90"/>
      <c r="H26" s="91"/>
      <c r="I26" s="1"/>
    </row>
    <row r="27" spans="1:9" ht="29.25" customHeight="1" x14ac:dyDescent="0.25">
      <c r="A27" s="1"/>
      <c r="B27" s="71" t="s">
        <v>100</v>
      </c>
      <c r="C27" s="72"/>
      <c r="D27" s="72"/>
      <c r="E27" s="72"/>
      <c r="F27" s="73"/>
      <c r="G27" s="36">
        <v>0</v>
      </c>
      <c r="H27" s="10" t="s">
        <v>4</v>
      </c>
      <c r="I27" s="1"/>
    </row>
    <row r="28" spans="1:9" x14ac:dyDescent="0.25">
      <c r="A28" s="1"/>
      <c r="B28" s="77" t="s">
        <v>101</v>
      </c>
      <c r="C28" s="78"/>
      <c r="D28" s="78"/>
      <c r="E28" s="78"/>
      <c r="F28" s="79"/>
      <c r="G28" s="36">
        <v>0</v>
      </c>
      <c r="H28" s="10" t="s">
        <v>4</v>
      </c>
      <c r="I28" s="1"/>
    </row>
    <row r="29" spans="1:9" ht="30" customHeight="1" x14ac:dyDescent="0.25">
      <c r="A29" s="1"/>
      <c r="B29" s="89" t="s">
        <v>102</v>
      </c>
      <c r="C29" s="90"/>
      <c r="D29" s="90"/>
      <c r="E29" s="90"/>
      <c r="F29" s="91"/>
      <c r="G29" s="34">
        <f>G27-G28</f>
        <v>0</v>
      </c>
      <c r="H29" s="18" t="s">
        <v>4</v>
      </c>
      <c r="I29" s="1"/>
    </row>
    <row r="30" spans="1:9" x14ac:dyDescent="0.25">
      <c r="A30" s="1"/>
      <c r="B30" s="21"/>
      <c r="C30" s="21"/>
      <c r="D30" s="21"/>
      <c r="E30" s="21"/>
      <c r="F30" s="21"/>
      <c r="G30" s="21"/>
      <c r="H30" s="21"/>
      <c r="I30" s="1"/>
    </row>
    <row r="31" spans="1:9" x14ac:dyDescent="0.25">
      <c r="A31" s="1"/>
      <c r="B31" s="21"/>
      <c r="C31" s="21"/>
      <c r="D31" s="21"/>
      <c r="E31" s="21"/>
      <c r="F31" s="21"/>
      <c r="G31" s="21"/>
      <c r="H31" s="21"/>
      <c r="I31" s="1"/>
    </row>
    <row r="32" spans="1:9" x14ac:dyDescent="0.25">
      <c r="A32" s="1"/>
      <c r="B32" s="89" t="s">
        <v>90</v>
      </c>
      <c r="C32" s="90"/>
      <c r="D32" s="90"/>
      <c r="E32" s="90"/>
      <c r="F32" s="90"/>
      <c r="G32" s="90"/>
      <c r="H32" s="91"/>
      <c r="I32" s="1"/>
    </row>
    <row r="33" spans="1:9" x14ac:dyDescent="0.25">
      <c r="A33" s="1"/>
      <c r="B33" s="77" t="s">
        <v>91</v>
      </c>
      <c r="C33" s="78"/>
      <c r="D33" s="78"/>
      <c r="E33" s="78"/>
      <c r="F33" s="79"/>
      <c r="G33" s="36">
        <v>161667</v>
      </c>
      <c r="H33" s="10" t="s">
        <v>4</v>
      </c>
      <c r="I33" s="1"/>
    </row>
    <row r="34" spans="1:9" x14ac:dyDescent="0.25">
      <c r="A34" s="1"/>
      <c r="B34" s="77" t="s">
        <v>92</v>
      </c>
      <c r="C34" s="78"/>
      <c r="D34" s="78"/>
      <c r="E34" s="78"/>
      <c r="F34" s="79"/>
      <c r="G34" s="36">
        <v>53333</v>
      </c>
      <c r="H34" s="10" t="s">
        <v>4</v>
      </c>
      <c r="I34" s="1"/>
    </row>
    <row r="35" spans="1:9" x14ac:dyDescent="0.25">
      <c r="A35" s="1"/>
      <c r="B35" s="77" t="s">
        <v>93</v>
      </c>
      <c r="C35" s="78"/>
      <c r="D35" s="78"/>
      <c r="E35" s="78"/>
      <c r="F35" s="79"/>
      <c r="G35" s="20">
        <f>'Fane 6. Gen. inv. i 2015'!F12</f>
        <v>48364.72</v>
      </c>
      <c r="H35" s="10" t="s">
        <v>4</v>
      </c>
      <c r="I35" s="1"/>
    </row>
    <row r="36" spans="1:9" x14ac:dyDescent="0.25">
      <c r="A36" s="1"/>
      <c r="B36" s="67" t="s">
        <v>90</v>
      </c>
      <c r="C36" s="68"/>
      <c r="D36" s="68"/>
      <c r="E36" s="68"/>
      <c r="F36" s="69"/>
      <c r="G36" s="34">
        <f>G35-G33+G35-G34</f>
        <v>-118270.56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50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52</v>
      </c>
      <c r="C9" s="82"/>
      <c r="D9" s="82"/>
      <c r="E9" s="82"/>
      <c r="F9" s="83"/>
      <c r="G9" s="37">
        <v>18636530</v>
      </c>
      <c r="H9" s="16" t="s">
        <v>4</v>
      </c>
      <c r="I9" s="1"/>
    </row>
    <row r="10" spans="1:9" x14ac:dyDescent="0.25">
      <c r="A10" s="1"/>
      <c r="B10" s="67" t="s">
        <v>53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54</v>
      </c>
      <c r="C11" s="78"/>
      <c r="D11" s="79"/>
      <c r="E11" s="36">
        <v>8512605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55</v>
      </c>
      <c r="C12" s="78"/>
      <c r="D12" s="79"/>
      <c r="E12" s="36">
        <v>395454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56</v>
      </c>
      <c r="C13" s="78"/>
      <c r="D13" s="79"/>
      <c r="E13" s="36">
        <v>115987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57</v>
      </c>
      <c r="C14" s="78"/>
      <c r="D14" s="79"/>
      <c r="E14" s="36">
        <v>323333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58</v>
      </c>
      <c r="C15" s="82"/>
      <c r="D15" s="83"/>
      <c r="E15" s="33">
        <f>SUM(E11:E14)</f>
        <v>9347379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59</v>
      </c>
      <c r="C16" s="78"/>
      <c r="D16" s="79"/>
      <c r="E16" s="36">
        <v>115542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60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61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62</v>
      </c>
      <c r="C19" s="82"/>
      <c r="D19" s="83"/>
      <c r="E19" s="33">
        <f>SUM(E16:E18)</f>
        <v>115542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63</v>
      </c>
      <c r="C20" s="72"/>
      <c r="D20" s="73"/>
      <c r="E20" s="36">
        <v>-4773167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64</v>
      </c>
      <c r="C21" s="72"/>
      <c r="D21" s="73"/>
      <c r="E21" s="36">
        <v>-3451812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65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66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67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68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69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70</v>
      </c>
      <c r="C27" s="82"/>
      <c r="D27" s="83"/>
      <c r="E27" s="33">
        <f>SUM(E20:E26)</f>
        <v>-8224979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71</v>
      </c>
      <c r="C28" s="82"/>
      <c r="D28" s="83"/>
      <c r="E28" s="33">
        <f>E15+E19+E27</f>
        <v>1237942</v>
      </c>
      <c r="F28" s="16" t="s">
        <v>4</v>
      </c>
      <c r="G28" s="31">
        <f>IF(E28&lt;0,0,-E28)</f>
        <v>-1237942</v>
      </c>
      <c r="H28" s="16" t="s">
        <v>4</v>
      </c>
      <c r="I28" s="1"/>
    </row>
    <row r="29" spans="1:9" x14ac:dyDescent="0.25">
      <c r="A29" s="1"/>
      <c r="B29" s="67" t="s">
        <v>72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72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116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1" t="s">
        <v>117</v>
      </c>
      <c r="C32" s="72"/>
      <c r="D32" s="73"/>
      <c r="E32" s="36">
        <v>17102675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73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74</v>
      </c>
      <c r="C34" s="72"/>
      <c r="D34" s="73"/>
      <c r="E34" s="36">
        <v>455270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75</v>
      </c>
      <c r="C35" s="82"/>
      <c r="D35" s="83"/>
      <c r="E35" s="33">
        <f>SUM(E32:E34)</f>
        <v>17557945</v>
      </c>
      <c r="F35" s="16" t="s">
        <v>4</v>
      </c>
      <c r="G35" s="33">
        <f>-E35</f>
        <v>-17557945</v>
      </c>
      <c r="H35" s="16" t="s">
        <v>4</v>
      </c>
      <c r="I35" s="1"/>
    </row>
    <row r="36" spans="1:9" x14ac:dyDescent="0.25">
      <c r="A36" s="1"/>
      <c r="B36" s="67" t="s">
        <v>51</v>
      </c>
      <c r="C36" s="68"/>
      <c r="D36" s="68"/>
      <c r="E36" s="68"/>
      <c r="F36" s="69"/>
      <c r="G36" s="34">
        <f>$G$9+$G$28+$G$30+$G$35</f>
        <v>-159357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123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112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19260212.634990871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20">
        <f>'Fane 3. Grundlag'!G11</f>
        <v>241518.09770425997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323317.80713387235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44</v>
      </c>
      <c r="C12" s="82"/>
      <c r="D12" s="83"/>
      <c r="E12" s="33">
        <f>$E$9-$E$11</f>
        <v>18936894.827856999</v>
      </c>
      <c r="F12" s="17" t="s">
        <v>4</v>
      </c>
      <c r="G12" s="33">
        <f>E12</f>
        <v>18936894.827856999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4" t="s">
        <v>111</v>
      </c>
      <c r="C14" s="75"/>
      <c r="D14" s="76"/>
      <c r="E14" s="33">
        <f>'Fane 5. Hist. over el. underdæk'!G13</f>
        <v>118665.75</v>
      </c>
      <c r="F14" s="17" t="s">
        <v>4</v>
      </c>
      <c r="G14" s="33">
        <f>E14</f>
        <v>118665.75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84839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-190648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104</v>
      </c>
      <c r="C18" s="72"/>
      <c r="D18" s="73"/>
      <c r="E18" s="20">
        <f>'Fane 7. Korrektion af PL2015'!G23</f>
        <v>-19819</v>
      </c>
      <c r="F18" s="7" t="s">
        <v>4</v>
      </c>
      <c r="G18" s="11"/>
      <c r="H18" s="12"/>
      <c r="I18" s="1"/>
    </row>
    <row r="19" spans="1:9" ht="30" customHeight="1" x14ac:dyDescent="0.25">
      <c r="A19" s="1"/>
      <c r="B19" s="71" t="s">
        <v>37</v>
      </c>
      <c r="C19" s="72"/>
      <c r="D19" s="73"/>
      <c r="E19" s="20">
        <f>'Fane 7. Korrektion af PL2015'!G29</f>
        <v>0</v>
      </c>
      <c r="F19" s="7" t="s">
        <v>4</v>
      </c>
      <c r="G19" s="13"/>
      <c r="H19" s="12"/>
      <c r="I19" s="1"/>
    </row>
    <row r="20" spans="1:9" ht="28.5" customHeight="1" x14ac:dyDescent="0.25">
      <c r="A20" s="1"/>
      <c r="B20" s="71" t="s">
        <v>38</v>
      </c>
      <c r="C20" s="72"/>
      <c r="D20" s="73"/>
      <c r="E20" s="20">
        <f>'Fane 7. Korrektion af PL2015'!G36</f>
        <v>-118270.56</v>
      </c>
      <c r="F20" s="7" t="s">
        <v>4</v>
      </c>
      <c r="G20" s="14"/>
      <c r="H20" s="15"/>
      <c r="I20" s="1"/>
    </row>
    <row r="21" spans="1:9" x14ac:dyDescent="0.25">
      <c r="A21" s="1"/>
      <c r="B21" s="74" t="s">
        <v>39</v>
      </c>
      <c r="C21" s="75"/>
      <c r="D21" s="76"/>
      <c r="E21" s="33">
        <f>SUM(E16:E20)</f>
        <v>-243898.56</v>
      </c>
      <c r="F21" s="17" t="s">
        <v>4</v>
      </c>
      <c r="G21" s="33">
        <f>E21</f>
        <v>-243898.56</v>
      </c>
      <c r="H21" s="17" t="s">
        <v>4</v>
      </c>
      <c r="I21" s="1"/>
    </row>
    <row r="22" spans="1:9" x14ac:dyDescent="0.25">
      <c r="A22" s="1"/>
      <c r="B22" s="67" t="s">
        <v>33</v>
      </c>
      <c r="C22" s="68"/>
      <c r="D22" s="68"/>
      <c r="E22" s="68"/>
      <c r="F22" s="68"/>
      <c r="G22" s="68"/>
      <c r="H22" s="69"/>
      <c r="I22" s="1"/>
    </row>
    <row r="23" spans="1:9" x14ac:dyDescent="0.25">
      <c r="A23" s="1"/>
      <c r="B23" s="74" t="s">
        <v>34</v>
      </c>
      <c r="C23" s="75"/>
      <c r="D23" s="76"/>
      <c r="E23" s="33">
        <f>'Fane 8. Kontrol af PL2015'!G36</f>
        <v>-159357</v>
      </c>
      <c r="F23" s="17" t="s">
        <v>4</v>
      </c>
      <c r="G23" s="33">
        <f>E23</f>
        <v>-159357</v>
      </c>
      <c r="H23" s="17" t="s">
        <v>4</v>
      </c>
      <c r="I23" s="1"/>
    </row>
    <row r="24" spans="1:9" x14ac:dyDescent="0.25">
      <c r="A24" s="1"/>
      <c r="B24" s="67" t="s">
        <v>40</v>
      </c>
      <c r="C24" s="68"/>
      <c r="D24" s="68"/>
      <c r="E24" s="68"/>
      <c r="F24" s="69"/>
      <c r="G24" s="34">
        <f>G12+G14+G21+G23</f>
        <v>18652305.017857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8:D18"/>
    <mergeCell ref="B24:F24"/>
    <mergeCell ref="B3:H4"/>
    <mergeCell ref="B9:D9"/>
    <mergeCell ref="B23:D23"/>
    <mergeCell ref="B11:D11"/>
    <mergeCell ref="B10:D10"/>
    <mergeCell ref="B12:D12"/>
    <mergeCell ref="B14:D14"/>
    <mergeCell ref="B17:D17"/>
    <mergeCell ref="B19:D19"/>
    <mergeCell ref="B20:D20"/>
    <mergeCell ref="B22:H22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112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41</v>
      </c>
      <c r="C9" s="72"/>
      <c r="D9" s="73"/>
      <c r="E9" s="35">
        <f>'Fane 2.1. Økonomisk ramme 2017'!$E$9-'Fane 2.1. Økonomisk ramme 2017'!$E$11</f>
        <v>18936894.827856999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2.1. Økonomisk ramme 2017'!$E$10</f>
        <v>241518.09770425997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240498.56431378386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321857.7362486365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18855535.655922148</v>
      </c>
      <c r="F13" s="17" t="s">
        <v>4</v>
      </c>
      <c r="G13" s="33">
        <f>E13</f>
        <v>18855535.655922148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111</v>
      </c>
      <c r="C15" s="75"/>
      <c r="D15" s="76"/>
      <c r="E15" s="37">
        <f>IF('Fane 5. Hist. over el. underdæk'!$G$12&gt;1,'Fane 5. Hist. over el. underdæk'!$G$13,0)</f>
        <v>118665.75</v>
      </c>
      <c r="F15" s="17" t="s">
        <v>4</v>
      </c>
      <c r="G15" s="33">
        <f>E15</f>
        <v>118665.75</v>
      </c>
      <c r="H15" s="17" t="s">
        <v>4</v>
      </c>
      <c r="I15" s="1"/>
    </row>
    <row r="16" spans="1:9" x14ac:dyDescent="0.25">
      <c r="A16" s="1"/>
      <c r="B16" s="67" t="s">
        <v>43</v>
      </c>
      <c r="C16" s="68"/>
      <c r="D16" s="68"/>
      <c r="E16" s="68"/>
      <c r="F16" s="69"/>
      <c r="G16" s="34">
        <f>G13+G15</f>
        <v>18974201.405922148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112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45</v>
      </c>
      <c r="C9" s="72"/>
      <c r="D9" s="73"/>
      <c r="E9" s="35">
        <f>'Fane 2.2. Økonomisk ramme 2018'!$E$9*1.0127-'Fane 2.2. Økonomisk ramme 2018'!$E$12</f>
        <v>18855535.655922148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2.2. Økonomisk ramme 2018'!$E$10*1.0127</f>
        <v>244585.37754510404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239465.30283021127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320404.25889751135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18774596.699854847</v>
      </c>
      <c r="F13" s="17" t="s">
        <v>4</v>
      </c>
      <c r="G13" s="33">
        <f>E13</f>
        <v>18774596.699854847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111</v>
      </c>
      <c r="C15" s="75"/>
      <c r="D15" s="76"/>
      <c r="E15" s="37">
        <f>IF('Fane 5. Hist. over el. underdæk'!$G$12&gt;2,'Fane 5. Hist. over el. underdæk'!$G$13,0)</f>
        <v>118665.75</v>
      </c>
      <c r="F15" s="17" t="s">
        <v>4</v>
      </c>
      <c r="G15" s="33">
        <f>E15</f>
        <v>118665.75</v>
      </c>
      <c r="H15" s="17" t="s">
        <v>4</v>
      </c>
      <c r="I15" s="1"/>
    </row>
    <row r="16" spans="1:9" x14ac:dyDescent="0.25">
      <c r="A16" s="1"/>
      <c r="B16" s="67" t="s">
        <v>46</v>
      </c>
      <c r="C16" s="68"/>
      <c r="D16" s="68"/>
      <c r="E16" s="68"/>
      <c r="F16" s="69"/>
      <c r="G16" s="34">
        <f>G13+G15</f>
        <v>18893262.449854847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112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47</v>
      </c>
      <c r="C9" s="72"/>
      <c r="D9" s="73"/>
      <c r="E9" s="35">
        <f>'Fane 2.3. Økonomisk ramme 2019'!$E$9*1.0127-'Fane 2.3. Økonomisk ramme 2019'!$E$12</f>
        <v>18774596.699854847</v>
      </c>
      <c r="F9" s="7" t="s">
        <v>4</v>
      </c>
      <c r="G9" s="8"/>
      <c r="H9" s="9"/>
      <c r="I9" s="1"/>
    </row>
    <row r="10" spans="1:9" x14ac:dyDescent="0.25">
      <c r="A10" s="1"/>
      <c r="B10" s="80" t="s">
        <v>103</v>
      </c>
      <c r="C10" s="78"/>
      <c r="D10" s="79"/>
      <c r="E10" s="36">
        <f>'Fane 2.3. Økonomisk ramme 2019'!$E$10*1.0127</f>
        <v>247691.61183992686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42</v>
      </c>
      <c r="C11" s="78"/>
      <c r="D11" s="79"/>
      <c r="E11" s="36">
        <f>$E$9*0.0127</f>
        <v>238437.37808815655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318957.34530475608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44</v>
      </c>
      <c r="C13" s="82"/>
      <c r="D13" s="83"/>
      <c r="E13" s="33">
        <f>$E$9+$E$11-$E$12</f>
        <v>18694076.732638247</v>
      </c>
      <c r="F13" s="17" t="s">
        <v>4</v>
      </c>
      <c r="G13" s="33">
        <f>E13</f>
        <v>18694076.732638247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111</v>
      </c>
      <c r="C15" s="75"/>
      <c r="D15" s="76"/>
      <c r="E15" s="37">
        <f>IF('Fane 5. Hist. over el. underdæk'!$G$12&gt;3,'Fane 5. Hist. over el. underdæk'!$G$13,0)</f>
        <v>118665.75</v>
      </c>
      <c r="F15" s="17" t="s">
        <v>4</v>
      </c>
      <c r="G15" s="33">
        <f>E15</f>
        <v>118665.75</v>
      </c>
      <c r="H15" s="17" t="s">
        <v>4</v>
      </c>
      <c r="I15" s="1"/>
    </row>
    <row r="16" spans="1:9" x14ac:dyDescent="0.25">
      <c r="A16" s="1"/>
      <c r="B16" s="67" t="s">
        <v>48</v>
      </c>
      <c r="C16" s="68"/>
      <c r="D16" s="68"/>
      <c r="E16" s="68"/>
      <c r="F16" s="69"/>
      <c r="G16" s="34">
        <f>G13+G15</f>
        <v>18812742.482638247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105</v>
      </c>
      <c r="C9" s="78"/>
      <c r="D9" s="78"/>
      <c r="E9" s="78"/>
      <c r="F9" s="79"/>
      <c r="G9" s="36">
        <v>5720751.8709574156</v>
      </c>
      <c r="H9" s="10" t="s">
        <v>4</v>
      </c>
      <c r="I9" s="1"/>
    </row>
    <row r="10" spans="1:9" x14ac:dyDescent="0.25">
      <c r="A10" s="1"/>
      <c r="B10" s="77" t="s">
        <v>106</v>
      </c>
      <c r="C10" s="78"/>
      <c r="D10" s="78"/>
      <c r="E10" s="78"/>
      <c r="F10" s="79"/>
      <c r="G10" s="36">
        <v>13297942.666329196</v>
      </c>
      <c r="H10" s="10" t="s">
        <v>4</v>
      </c>
      <c r="I10" s="1"/>
    </row>
    <row r="11" spans="1:9" x14ac:dyDescent="0.25">
      <c r="A11" s="1"/>
      <c r="B11" s="77" t="s">
        <v>107</v>
      </c>
      <c r="C11" s="78"/>
      <c r="D11" s="78"/>
      <c r="E11" s="78"/>
      <c r="F11" s="79"/>
      <c r="G11" s="36">
        <v>241518.09770425997</v>
      </c>
      <c r="H11" s="10" t="s">
        <v>4</v>
      </c>
      <c r="I11" s="1"/>
    </row>
    <row r="12" spans="1:9" x14ac:dyDescent="0.25">
      <c r="A12" s="1"/>
      <c r="B12" s="67" t="s">
        <v>49</v>
      </c>
      <c r="C12" s="68"/>
      <c r="D12" s="68"/>
      <c r="E12" s="68"/>
      <c r="F12" s="69"/>
      <c r="G12" s="34">
        <f>SUM(G9:G11)</f>
        <v>19260212.634990871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108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113</v>
      </c>
      <c r="C9" s="78"/>
      <c r="D9" s="78"/>
      <c r="E9" s="78"/>
      <c r="F9" s="79"/>
      <c r="G9" s="20">
        <f>'Fane 3. Grundlag'!G12-'Fane 3. Grundlag'!G11</f>
        <v>19018694.537286609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76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323317.80713387235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110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78</v>
      </c>
      <c r="C9" s="78"/>
      <c r="D9" s="78"/>
      <c r="E9" s="78"/>
      <c r="F9" s="79"/>
      <c r="G9" s="36">
        <v>1505088</v>
      </c>
      <c r="H9" s="10" t="s">
        <v>4</v>
      </c>
      <c r="I9" s="1"/>
    </row>
    <row r="10" spans="1:9" x14ac:dyDescent="0.25">
      <c r="A10" s="1"/>
      <c r="B10" s="77" t="s">
        <v>79</v>
      </c>
      <c r="C10" s="78"/>
      <c r="D10" s="78"/>
      <c r="E10" s="78"/>
      <c r="F10" s="79"/>
      <c r="G10" s="36">
        <v>1030425</v>
      </c>
      <c r="H10" s="10" t="s">
        <v>4</v>
      </c>
      <c r="I10" s="1"/>
    </row>
    <row r="11" spans="1:9" x14ac:dyDescent="0.25">
      <c r="A11" s="1"/>
      <c r="B11" s="84" t="s">
        <v>94</v>
      </c>
      <c r="C11" s="85"/>
      <c r="D11" s="85"/>
      <c r="E11" s="85"/>
      <c r="F11" s="86"/>
      <c r="G11" s="38">
        <v>474663</v>
      </c>
      <c r="H11" s="23" t="s">
        <v>4</v>
      </c>
      <c r="I11" s="1"/>
    </row>
    <row r="12" spans="1:9" x14ac:dyDescent="0.25">
      <c r="A12" s="1"/>
      <c r="B12" s="77" t="s">
        <v>80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77</v>
      </c>
      <c r="C13" s="68"/>
      <c r="D13" s="68"/>
      <c r="E13" s="68"/>
      <c r="F13" s="69"/>
      <c r="G13" s="34">
        <f>G11/G12</f>
        <v>118665.75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120</v>
      </c>
      <c r="C3" s="70"/>
      <c r="D3" s="70"/>
      <c r="E3" s="70"/>
      <c r="F3" s="70"/>
      <c r="G3" s="70"/>
      <c r="H3" s="1"/>
    </row>
    <row r="4" spans="1:8" ht="1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81</v>
      </c>
      <c r="F9" s="87" t="s">
        <v>3</v>
      </c>
      <c r="G9" s="87"/>
      <c r="H9" s="1"/>
    </row>
    <row r="10" spans="1:8" x14ac:dyDescent="0.25">
      <c r="A10" s="1"/>
      <c r="B10" s="41" t="s">
        <v>115</v>
      </c>
      <c r="C10" s="39">
        <v>2015</v>
      </c>
      <c r="D10" s="39">
        <v>75</v>
      </c>
      <c r="E10" s="36">
        <v>345572</v>
      </c>
      <c r="F10" s="20">
        <f>E10/D10</f>
        <v>4607.626666666667</v>
      </c>
      <c r="G10" s="10" t="s">
        <v>4</v>
      </c>
      <c r="H10" s="1"/>
    </row>
    <row r="11" spans="1:8" x14ac:dyDescent="0.25">
      <c r="A11" s="1"/>
      <c r="B11" s="41" t="s">
        <v>115</v>
      </c>
      <c r="C11" s="39">
        <v>2015</v>
      </c>
      <c r="D11" s="39">
        <v>75</v>
      </c>
      <c r="E11" s="36">
        <v>3281782</v>
      </c>
      <c r="F11" s="20">
        <f t="shared" ref="F11" si="0">E11/D11</f>
        <v>43757.093333333331</v>
      </c>
      <c r="G11" s="10" t="s">
        <v>4</v>
      </c>
      <c r="H11" s="1"/>
    </row>
    <row r="12" spans="1:8" x14ac:dyDescent="0.25">
      <c r="A12" s="1"/>
      <c r="B12" s="67" t="s">
        <v>5</v>
      </c>
      <c r="C12" s="68"/>
      <c r="D12" s="68"/>
      <c r="E12" s="69"/>
      <c r="F12" s="34">
        <f>SUM(F10:F11)</f>
        <v>48364.72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Rasmus Baltser (KFST)</cp:lastModifiedBy>
  <cp:lastPrinted>2016-06-14T12:57:30Z</cp:lastPrinted>
  <dcterms:created xsi:type="dcterms:W3CDTF">2016-06-02T08:51:18Z</dcterms:created>
  <dcterms:modified xsi:type="dcterms:W3CDTF">2016-11-10T10:49:05Z</dcterms:modified>
</cp:coreProperties>
</file>