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E6" i="16"/>
  <c r="G5" i="16"/>
  <c r="J3" i="16" s="1"/>
  <c r="G6" i="16"/>
  <c r="F5" i="16"/>
  <c r="F6" i="16"/>
  <c r="M3" i="24" l="1"/>
  <c r="B9" i="12" s="1"/>
  <c r="B10" i="12" s="1"/>
  <c r="H3" i="16"/>
  <c r="I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<sst xmlns="http://schemas.openxmlformats.org/spreadsheetml/2006/main" count="115" uniqueCount="77">
  <si>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</si>
  <si>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</si>
  <si>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</si>
  <si>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</si>
  <si>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</si>
  <si>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</si>
  <si>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</si>
  <si>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</si>
  <si>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</si>
  <si>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</si>
  <si>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</si>
  <si>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</si>
  <si>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</si>
  <si>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</si>
  <si>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</si>
  <si>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</si>
  <si>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</si>
  <si>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</si>
  <si>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</si>
  <si>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</si>
  <si>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</si>
  <si>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</si>
  <si>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</t>
  </si>
  <si>
    <t>Ledelsessystem</t>
  </si>
  <si>
    <t xml:space="preserve">Dokumenteret spildevandssikkerhed (DSS)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</si>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</sst>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5466342.4532287735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180181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24034.116466666666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5670557.5696954401</v>
      </c>
      <c r="C5" s="62" t="s">
        <v>11</v>
      </c>
    </row>
    <row r="6" spans="1:3" x14ac:dyDescent="0.25">
      <c r="A6" s="47" t="s">
        <v>0</v>
      </c>
      <c r="B6" s="38">
        <f>Investeringer!E3</f>
        <v>9267664.2015192304</v>
      </c>
      <c r="C6" s="23" t="s">
        <v>11</v>
      </c>
    </row>
    <row r="7" spans="1:3" x14ac:dyDescent="0.25">
      <c r="A7" s="4" t="s">
        <v>1</v>
      </c>
      <c r="B7" s="35">
        <f>Investeringer!F3</f>
        <v>448456.3294587885</v>
      </c>
      <c r="C7" t="s">
        <v>11</v>
      </c>
    </row>
    <row r="8" spans="1:3" x14ac:dyDescent="0.25">
      <c r="A8" s="4" t="s">
        <v>2</v>
      </c>
      <c r="B8" s="35">
        <f>Investeringer!G3</f>
        <v>166666.66666666666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3298478.3333333335</v>
      </c>
      <c r="C9" t="s">
        <v>11</v>
      </c>
    </row>
    <row r="10" spans="1:3" s="22" customFormat="1" x14ac:dyDescent="0.25">
      <c r="A10" s="3" t="s">
        <v>50</v>
      </c>
      <c r="B10" s="48">
        <f>SUM(B6:B9)</f>
        <v>13181265.530978018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239399</v>
      </c>
      <c r="C11" t="s">
        <v>11</v>
      </c>
    </row>
    <row r="12" spans="1:3" s="22" customFormat="1" x14ac:dyDescent="0.25">
      <c r="A12" s="3" t="s">
        <v>71</v>
      </c>
      <c r="B12" s="48">
        <f>SUM(B11:B11)</f>
        <v>239399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60</v>
      </c>
      <c r="B14" s="37">
        <f>SUM(B5,B10,B12)</f>
        <v>19091222.100673459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7">
        <f>B14*Pristalsregulering!C8*Pristalsregulering!C9</f>
        <v>19260212.634990875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55</v>
      </c>
      <c r="F1" s="52" t="s">
        <v>63</v>
      </c>
      <c r="G1" s="52" t="s">
        <v>72</v>
      </c>
      <c r="H1" s="52" t="s">
        <v>64</v>
      </c>
      <c r="I1" s="52" t="s">
        <v>51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6120258</v>
      </c>
      <c r="C2" s="49">
        <v>32605</v>
      </c>
      <c r="D2" s="49">
        <f>B2+C2</f>
        <v>6152863</v>
      </c>
      <c r="E2" s="50">
        <f>D2</f>
        <v>6152863</v>
      </c>
      <c r="F2" s="49">
        <v>5466342.4532287735</v>
      </c>
      <c r="G2" s="49">
        <v>0</v>
      </c>
      <c r="H2" s="49">
        <f>F2-G2</f>
        <v>5466342.4532287735</v>
      </c>
      <c r="I2" s="49">
        <f>AVERAGEIF(E2:E4,"&lt;&gt;0")</f>
        <v>5818213.7283973321</v>
      </c>
      <c r="J2" s="49">
        <v>4329042.0230362769</v>
      </c>
      <c r="K2" s="39">
        <f>IF(H2&gt;I2,IF(I2&gt;J2,I2,J2),H2)</f>
        <v>5466342.4532287735</v>
      </c>
    </row>
    <row r="3" spans="1:11" s="23" customFormat="1" x14ac:dyDescent="0.25">
      <c r="A3" s="28">
        <v>2014</v>
      </c>
      <c r="B3" s="49">
        <v>5862427</v>
      </c>
      <c r="C3" s="49"/>
      <c r="D3" s="49">
        <f t="shared" ref="D3:D4" si="0">B3+C3</f>
        <v>5862427</v>
      </c>
      <c r="E3" s="50">
        <f>D3*Pristalsregulering!C7</f>
        <v>5867116.9415999996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5350066</v>
      </c>
      <c r="C4" s="49"/>
      <c r="D4" s="49">
        <f t="shared" si="0"/>
        <v>5350066</v>
      </c>
      <c r="E4" s="50">
        <f>D4*Pristalsregulering!$C$6*Pristalsregulering!$C$7</f>
        <v>5434661.2435919987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71" width="0" hidden="1" customWidth="1"/>
    <col min="72" max="72" width="9.140625" hidden="1" customWidth="1"/>
    <col min="73" max="114" width="0" hidden="1" customWidth="1"/>
    <col min="115" max="115" width="9.140625" hidden="1" customWidth="1"/>
    <col min="116" max="138" width="0" hidden="1" customWidth="1"/>
    <col min="139" max="139" width="9.140625" hidden="1" customWidth="1"/>
    <col min="140" max="181" width="0" hidden="1" customWidth="1"/>
    <col min="182" max="182" width="9.140625" hidden="1" customWidth="1"/>
    <col min="183" max="224" width="0" hidden="1" customWidth="1"/>
    <col min="225" max="225" width="9.140625" hidden="1" customWidth="1"/>
    <col min="226" max="248" width="0" hidden="1" customWidth="1"/>
    <col min="249" max="249" width="9.140625" hidden="1" customWidth="1"/>
    <col min="250" max="291" width="0" hidden="1" customWidth="1"/>
    <col min="292" max="292" width="9.140625" hidden="1" customWidth="1"/>
    <col min="293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74</v>
      </c>
      <c r="C1" s="33"/>
      <c r="D1" s="33"/>
      <c r="E1" s="63" t="s">
        <v>75</v>
      </c>
      <c r="F1" s="10"/>
      <c r="G1" s="10"/>
      <c r="H1" s="63" t="s">
        <v>76</v>
      </c>
      <c r="I1" s="10"/>
      <c r="J1" s="10"/>
      <c r="K1" s="63"/>
    </row>
    <row r="2" spans="1:11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50000</v>
      </c>
      <c r="C3" s="72">
        <v>50000</v>
      </c>
      <c r="D3" s="72"/>
      <c r="E3" s="45">
        <f t="shared" ref="E3:G4" si="0">B3</f>
        <v>50000</v>
      </c>
      <c r="F3" s="35">
        <f t="shared" si="0"/>
        <v>50000</v>
      </c>
      <c r="G3" s="35">
        <f t="shared" si="0"/>
        <v>0</v>
      </c>
      <c r="H3" s="45">
        <f>IF(E4=0,0,AVERAGEIF(E4:E6,"&lt;&gt;0"))+E3</f>
        <v>50000</v>
      </c>
      <c r="I3" s="38">
        <f>IF(F4=0,0,AVERAGEIF(F4:F6,"&lt;&gt;0"))+F3</f>
        <v>50000</v>
      </c>
      <c r="J3" s="38">
        <f>IF(G4=0,0,AVERAGEIF(G4:G6,"&lt;&gt;0"))+G3</f>
        <v>80181</v>
      </c>
      <c r="K3" s="57">
        <f>SUM(H3:J3)</f>
        <v>180181</v>
      </c>
    </row>
    <row r="4" spans="1:11" x14ac:dyDescent="0.25">
      <c r="A4" s="28">
        <v>2015</v>
      </c>
      <c r="B4" s="35"/>
      <c r="C4" s="35"/>
      <c r="D4" s="35">
        <v>80181</v>
      </c>
      <c r="E4" s="45">
        <f t="shared" si="0"/>
        <v>0</v>
      </c>
      <c r="F4" s="35">
        <f t="shared" si="0"/>
        <v>0</v>
      </c>
      <c r="G4" s="35">
        <f t="shared" si="0"/>
        <v>80181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/>
      <c r="E5" s="45">
        <f>B5*Pristalsregulering!$C$7</f>
        <v>0</v>
      </c>
      <c r="F5" s="35">
        <f>C5*Pristalsregulering!$C$7</f>
        <v>0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56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11500</v>
      </c>
      <c r="C3" s="42">
        <v>12940</v>
      </c>
      <c r="D3" s="42">
        <v>0</v>
      </c>
      <c r="E3" s="41">
        <f>B3</f>
        <v>11500</v>
      </c>
      <c r="F3" s="42">
        <f t="shared" ref="F3:G3" si="0">C3</f>
        <v>12940</v>
      </c>
      <c r="G3" s="43">
        <f t="shared" si="0"/>
        <v>0</v>
      </c>
      <c r="H3" s="44">
        <f>IF(E3=0,0,AVERAGEIF(E3:E5,"&lt;&gt;0"))+IF(F3=0,0,AVERAGEIF(F3:F5,"&lt;&gt;0"))+IF(G3=0,0,AVERAGEIF(G3:G5,"&lt;&gt;0"))</f>
        <v>24034.116466666666</v>
      </c>
    </row>
    <row r="4" spans="1:8" x14ac:dyDescent="0.25">
      <c r="A4" s="31">
        <v>2014</v>
      </c>
      <c r="B4" s="41">
        <v>12500</v>
      </c>
      <c r="C4" s="42">
        <v>9800</v>
      </c>
      <c r="D4" s="42">
        <v>0</v>
      </c>
      <c r="E4" s="41">
        <f>B4*Pristalsregulering!$C$7</f>
        <v>12509.999999999998</v>
      </c>
      <c r="F4" s="42">
        <f>C4*Pristalsregulering!$C$7</f>
        <v>9807.8399999999983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15550</v>
      </c>
      <c r="C5" s="42">
        <v>9400</v>
      </c>
      <c r="D5" s="42">
        <v>0</v>
      </c>
      <c r="E5" s="41">
        <f>B5*Pristalsregulering!$C$7*Pristalsregulering!$C$6</f>
        <v>15795.876599999998</v>
      </c>
      <c r="F5" s="42">
        <f>C5*Pristalsregulering!$C$7*Pristalsregulering!$C$6</f>
        <v>9548.6327999999976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69</v>
      </c>
      <c r="C1" s="76"/>
      <c r="D1" s="77"/>
      <c r="E1" s="78" t="s">
        <v>70</v>
      </c>
      <c r="F1" s="78"/>
      <c r="G1" s="78"/>
    </row>
    <row r="2" spans="1:7" s="22" customFormat="1" ht="15.75" thickTop="1" x14ac:dyDescent="0.25">
      <c r="A2" s="69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8512604.9521987233</v>
      </c>
      <c r="C3" s="38">
        <v>433149.56166666653</v>
      </c>
      <c r="D3" s="40">
        <v>166666.66666666666</v>
      </c>
      <c r="E3" s="35">
        <f>B3*Pristalsregulering!C2*Pristalsregulering!C3*Pristalsregulering!C4*Pristalsregulering!C5*Pristalsregulering!C6*Pristalsregulering!C7</f>
        <v>9267664.2015192304</v>
      </c>
      <c r="F3" s="35">
        <v>448456.3294587885</v>
      </c>
      <c r="G3" s="35">
        <f>D3</f>
        <v>166666.66666666666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43</v>
      </c>
      <c r="C1" s="74"/>
      <c r="D1" s="74"/>
      <c r="E1" s="74"/>
      <c r="F1" s="75" t="s">
        <v>57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73</v>
      </c>
      <c r="M2" s="6" t="s">
        <v>30</v>
      </c>
      <c r="N2" s="32"/>
    </row>
    <row r="3" spans="1:14" x14ac:dyDescent="0.25">
      <c r="A3" s="28">
        <v>2015</v>
      </c>
      <c r="B3" s="45">
        <v>70792</v>
      </c>
      <c r="C3" s="38">
        <v>3274881</v>
      </c>
      <c r="D3" s="38">
        <v>0</v>
      </c>
      <c r="E3" s="40">
        <v>0</v>
      </c>
      <c r="F3" s="38">
        <f>B3</f>
        <v>70792</v>
      </c>
      <c r="G3" s="38">
        <f>C3</f>
        <v>3274881</v>
      </c>
      <c r="H3" s="38">
        <f>D3</f>
        <v>0</v>
      </c>
      <c r="I3" s="40">
        <f>E3</f>
        <v>0</v>
      </c>
      <c r="J3" s="42">
        <f>AVERAGE(F3:F5)</f>
        <v>23597.333333333332</v>
      </c>
      <c r="K3" s="42">
        <f>G3</f>
        <v>3274881</v>
      </c>
      <c r="L3" s="43">
        <f>AVERAGE(H3:H5)+AVERAGE(I3:I5)</f>
        <v>0</v>
      </c>
      <c r="M3" s="44">
        <f>SUM(J3:L3)</f>
        <v>3298478.3333333335</v>
      </c>
      <c r="N3" s="23"/>
    </row>
    <row r="4" spans="1:14" x14ac:dyDescent="0.25">
      <c r="A4" s="28">
        <v>2014</v>
      </c>
      <c r="B4" s="45">
        <v>0</v>
      </c>
      <c r="C4" s="38">
        <v>3432154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3434899.7231999999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3655551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3713352.5724119991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41</v>
      </c>
      <c r="L1" s="66" t="s">
        <v>58</v>
      </c>
      <c r="M1" s="67" t="s">
        <v>42</v>
      </c>
      <c r="N1" s="14" t="s">
        <v>30</v>
      </c>
    </row>
    <row r="2" spans="1:14" ht="15.75" thickTop="1" x14ac:dyDescent="0.25">
      <c r="A2" s="31">
        <v>2015</v>
      </c>
      <c r="B2" s="42">
        <v>16262</v>
      </c>
      <c r="C2" s="42">
        <v>0</v>
      </c>
      <c r="D2" s="42">
        <v>29908</v>
      </c>
      <c r="E2" s="42">
        <v>0</v>
      </c>
      <c r="F2" s="42">
        <v>0</v>
      </c>
      <c r="G2" s="42">
        <v>0</v>
      </c>
      <c r="H2" s="42">
        <v>193229</v>
      </c>
      <c r="I2" s="42">
        <v>0</v>
      </c>
      <c r="J2" s="42"/>
      <c r="K2" s="42">
        <v>0</v>
      </c>
      <c r="L2" s="42"/>
      <c r="M2" s="43">
        <v>0</v>
      </c>
      <c r="N2" s="44">
        <f>SUM(B2:M2)</f>
        <v>239399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59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2016-09-29T12:05:36Z</dcterms:modified>
</cp:coreProperties>
</file>