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C11" i="13" l="1"/>
  <c r="E31" i="19" l="1"/>
  <c r="C36" i="19" l="1"/>
  <c r="E36" i="19" s="1"/>
  <c r="F25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26" i="8" l="1"/>
  <c r="F8" i="2" l="1"/>
  <c r="F8" i="7"/>
  <c r="F24" i="7" s="1"/>
  <c r="F24" i="2" l="1"/>
  <c r="C9" i="10" s="1"/>
  <c r="C15" i="11" l="1"/>
  <c r="C29" i="8" s="1"/>
  <c r="C17" i="13"/>
  <c r="C27" i="8" s="1"/>
  <c r="C15" i="4"/>
  <c r="C25" i="8" s="1"/>
  <c r="C25" i="3"/>
  <c r="C23" i="8" s="1"/>
  <c r="F26" i="7"/>
  <c r="C18" i="8" s="1"/>
  <c r="C19" i="3"/>
  <c r="C22" i="8" s="1"/>
  <c r="C13" i="3"/>
  <c r="C21" i="8" s="1"/>
  <c r="C9" i="4"/>
  <c r="C24" i="8" s="1"/>
  <c r="C10" i="10"/>
  <c r="C17" i="8" s="1"/>
  <c r="F26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<sst xmlns="http://schemas.openxmlformats.org/spreadsheetml/2006/main" count="463" uniqueCount="230">
  <si>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</si>
  <si>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</si>
  <si>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</si>
  <si>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</si>
  <si>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</si>
  <si>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</si>
  <si>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</si>
  <si>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</si>
  <si>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</si>
  <si>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</si>
  <si>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</si>
  <si>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</si>
  <si>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</si>
  <si>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</si>
  <si>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</si>
  <si>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</si>
  <si>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</si>
  <si>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</si>
  <si>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</si>
  <si>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</si>
  <si>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</si>
  <si>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</si>
  <si>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</si>
  <si>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</si>
  <si>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</si>
  <si>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</si>
  <si>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</si>
  <si>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</si>
  <si>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</si>
  <si>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</si>
  <si>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</si>
  <si>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</si>
  <si>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</si>
  <si>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</si>
  <si>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</si>
  <si>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</si>
  <si>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</si>
  <si>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</si>
  <si>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</si>
  <si>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</si>
  <si>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</si>
  <si>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</si>
  <si>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</si>
  <si>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</si>
  <si>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</si>
  <si>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</si>
  <si>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</si>
  <si>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</si>
  <si>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</si>
  <si>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</si>
  <si>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</si>
  <si>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</si>
  <si>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</si>
  <si>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</si>
  <si>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</si>
  <si>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</si>
  <si>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</si>
  <si>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</si>
  <si>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</si>
  <si>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</si>
  <si>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</si>
  <si>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</si>
  <si>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</si>
  <si>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</si>
  <si>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</si>
  <si>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</si>
  <si>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</si>
  <si>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</si>
  <si>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</si>
  <si>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</si>
  <si>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</si>
  <si>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</si>
  <si>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</si>
  <si>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</si>
  <si>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</si>
  <si>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</si>
  <si>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</si>
  <si>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</si>
  <si>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</si>
  <si>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</si>
  <si>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</si>
  <si>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</si>
  <si>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</si>
  <si>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</si>
  <si>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</si>
  <si>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</si>
  <si>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</si>
  <si>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</si>
  <si>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</si>
  <si>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</si>
  <si>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</si>
  <si>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</si>
  <si>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</si>
  <si>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</si>
  <si>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</si>
  <si>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</si>
  <si>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</si>
  <si>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</si>
  <si>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</si>
  <si>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</si>
  <si>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</si>
  <si>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</si>
  <si>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</si>
  <si>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</si>
  <si>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</si>
  <si>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</si>
  <si>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</si>
  <si>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</si>
  <si>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</si>
  <si>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</si>
  <si>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</si>
  <si>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</si>
  <si>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</si>
  <si>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</si>
  <si>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</si>
  <si>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</si>
  <si>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</si>
  <si>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</si>
  <si>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</si>
  <si>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</si>
  <si>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</si>
  <si>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</si>
  <si>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</si>
  <si>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</si>
  <si>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</si>
  <si>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</si>
  <si>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</si>
  <si>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</si>
  <si>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</si>
  <si>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</si>
  <si>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</si>
  <si>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</si>
  <si>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</si>
  <si>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</si>
  <si>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</si>
  <si>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</si>
  <si>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</si>
  <si>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</si>
  <si>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</si>
  <si>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</si>
  <si>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</si>
  <si>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</si>
  <si>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</si>
  <si>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</si>
  <si>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</si>
  <si>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</si>
  <si>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</si>
  <si>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</si>
  <si>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</si>
  <si>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</si>
  <si>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</si>
  <si>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</si>
  <si>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</si>
  <si>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</si>
  <si>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</si>
  <si>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</si>
  <si>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</si>
  <si>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</si>
  <si>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</si>
  <si>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</si>
  <si>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</si>
  <si>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</si>
  <si>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</si>
  <si>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</si>
  <si>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</si>
  <si>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</si>
  <si>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</si>
  <si>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</si>
  <si>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</si>
  <si>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</si>
  <si>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</si>
  <si>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</si>
  <si>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</si>
  <si>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</si>
  <si>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</si>
  <si>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</si>
  <si>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</si>
  <si>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</si>
  <si>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</si>
  <si>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</si>
  <si>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</si>
  <si>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</si>
  <si>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</si>
  <si>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</si>
  <si>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</si>
  <si>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</si>
  <si>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</si>
  <si>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</si>
  <si>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</si>
  <si>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Sluse- og pumpeanlæg (Godkendt i PL2013)</t>
  </si>
  <si>
    <t>Lystrup - part 1 (Godkendt i PL2014)</t>
  </si>
  <si>
    <t>Lystrup - part 2 (Godkendt i PL2015)</t>
  </si>
  <si>
    <t>Klimatilpasning, Lystrup 2014</t>
  </si>
  <si>
    <t>Klimatilpasning, Lystrup 2015</t>
  </si>
  <si>
    <t>Mindre renseanlæg &lt; 5.000 PE uden mulighed for opdeling</t>
  </si>
  <si>
    <t xml:space="preserve">Ø 200 mm &lt; Ledningsnet ≤ Ø 500 mm </t>
  </si>
  <si>
    <t>Strømpeforing Ø 200 mm &lt; Ledningsnet ≤ Ø 500 mm</t>
  </si>
  <si>
    <t>Pumpestationer i brønde (&lt; 6,25 m2), Mek/EL</t>
  </si>
  <si>
    <t>Pumpestationer i brønde (&lt; 6,25 m2), SRO</t>
  </si>
  <si>
    <t>Beluftningstanke, SRO</t>
  </si>
  <si>
    <t>Beluftningstanke, Mek/EL</t>
  </si>
  <si>
    <t>Overbygning</t>
  </si>
  <si>
    <t>Pumpestationer i brønde (&lt; 6,25 m2), Konstruktioner</t>
  </si>
  <si>
    <t>Forsinkelsesbassiner, lukkede med automatisk rensning og SRO Miljøklasse A (1.000-3.000 m3) - Konstruktioner</t>
  </si>
  <si>
    <t>Jordbassin Klasse B</t>
  </si>
  <si>
    <t>Køretøjer, personbil</t>
  </si>
  <si>
    <t>Arbejdsplads</t>
  </si>
  <si>
    <t>Administrationbygninger</t>
  </si>
  <si>
    <t>Slamsugere</t>
  </si>
  <si>
    <t>Værksteder, garager</t>
  </si>
  <si>
    <t>2014</t>
  </si>
  <si>
    <t>40</t>
  </si>
  <si>
    <t>75</t>
  </si>
  <si>
    <t>50</t>
  </si>
  <si>
    <t>20</t>
  </si>
  <si>
    <t>10</t>
  </si>
  <si>
    <t>5</t>
  </si>
  <si>
    <t>Pumpeinstallation Miljøklasse A (100-300 l/s) - Mek/EL</t>
  </si>
  <si>
    <t>Jordbassin Klasse A</t>
  </si>
  <si>
    <t>Gasdisponering - elproduktionsanlæg, Konstruktioner</t>
  </si>
  <si>
    <t>Gasdisponering - elproduktionsanlæg, Mek/EL</t>
  </si>
  <si>
    <t>Gasdisponering - elproduktionsanlæg, SRO</t>
  </si>
  <si>
    <t>Tjenestemandspensioner</t>
  </si>
  <si>
    <t>Ejendomsskatter</t>
  </si>
  <si>
    <t>Selskabsskatter</t>
  </si>
  <si>
    <t>Spildevandsafgift</t>
  </si>
  <si>
    <t>Køb af ydelser og produkter, der er omfattet af prisloftreguleringen, hos et andet selskab</t>
  </si>
  <si>
    <t xml:space="preserve">kr. </t>
  </si>
  <si>
    <t>Aarhus Vand AS</t>
  </si>
  <si>
    <t>S110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</si>
</sst>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left" wrapText="1"/>
      <protection locked="0"/>
    </xf>
    <xf numFmtId="43" fontId="6" fillId="0" borderId="22" xfId="1" applyFont="1" applyBorder="1" applyAlignment="1" applyProtection="1">
      <alignment horizontal="center" wrapText="1"/>
      <protection locked="0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0" t="s">
        <v>228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0" t="s">
        <v>229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7" t="s">
        <v>58</v>
      </c>
      <c r="E8" s="257"/>
      <c r="F8" s="257"/>
      <c r="G8" s="123"/>
      <c r="H8" s="123"/>
      <c r="I8" s="123"/>
    </row>
    <row r="9" spans="1:9" x14ac:dyDescent="0.25">
      <c r="A9" s="121"/>
      <c r="B9" s="121"/>
      <c r="C9" s="121"/>
      <c r="D9" s="262" t="s">
        <v>107</v>
      </c>
      <c r="E9" s="262"/>
      <c r="F9" s="262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8" t="s">
        <v>59</v>
      </c>
      <c r="E13" s="258"/>
      <c r="F13" s="25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9" t="s">
        <v>60</v>
      </c>
      <c r="E16" s="260"/>
      <c r="F16" s="261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3" t="s">
        <v>2</v>
      </c>
      <c r="E17" s="234"/>
      <c r="F17" s="235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3" t="s">
        <v>133</v>
      </c>
      <c r="E18" s="234"/>
      <c r="F18" s="235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4" t="s">
        <v>44</v>
      </c>
      <c r="E19" s="255"/>
      <c r="F19" s="256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4" t="s">
        <v>61</v>
      </c>
      <c r="E20" s="255"/>
      <c r="F20" s="256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4" t="s">
        <v>88</v>
      </c>
      <c r="E21" s="255"/>
      <c r="F21" s="256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4" t="s">
        <v>62</v>
      </c>
      <c r="E22" s="255"/>
      <c r="F22" s="256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1" t="s">
        <v>42</v>
      </c>
      <c r="E23" s="252"/>
      <c r="F23" s="253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8" t="s">
        <v>63</v>
      </c>
      <c r="E24" s="249"/>
      <c r="F24" s="250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5" t="s">
        <v>64</v>
      </c>
      <c r="E25" s="246"/>
      <c r="F25" s="247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2" t="s">
        <v>43</v>
      </c>
      <c r="E26" s="243"/>
      <c r="F26" s="244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9" t="s">
        <v>65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6" t="s">
        <v>132</v>
      </c>
      <c r="D28" s="230" t="s">
        <v>143</v>
      </c>
      <c r="E28" s="231"/>
      <c r="F28" s="232"/>
      <c r="G28" s="126"/>
      <c r="H28" s="121"/>
      <c r="I28" s="121"/>
    </row>
    <row r="29" spans="1:9" x14ac:dyDescent="0.25">
      <c r="A29" s="121"/>
      <c r="B29" s="121"/>
      <c r="C29" s="127" t="s">
        <v>142</v>
      </c>
      <c r="D29" s="236" t="s">
        <v>144</v>
      </c>
      <c r="E29" s="237"/>
      <c r="F29" s="238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1" t="str">
        <f>'1. Forside'!A1</f>
        <v>Aarhus Vand AS</v>
      </c>
      <c r="B1" s="56"/>
      <c r="C1" s="56"/>
      <c r="D1" s="56"/>
      <c r="E1" s="56"/>
    </row>
    <row r="2" spans="1:5" x14ac:dyDescent="0.25">
      <c r="A2" s="221" t="str">
        <f>'1. Forside'!A2</f>
        <v>S110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6" t="s">
        <v>123</v>
      </c>
      <c r="C4" s="266"/>
      <c r="D4" s="266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151</v>
      </c>
      <c r="C6" s="180"/>
      <c r="D6" s="190"/>
      <c r="E6" s="56"/>
    </row>
    <row r="7" spans="1:5" x14ac:dyDescent="0.25">
      <c r="A7" s="56"/>
      <c r="B7" s="228" t="s">
        <v>192</v>
      </c>
      <c r="C7" s="51">
        <v>10000</v>
      </c>
      <c r="D7" s="229" t="s">
        <v>0</v>
      </c>
      <c r="E7" s="56"/>
    </row>
    <row r="8" spans="1:5" x14ac:dyDescent="0.25">
      <c r="A8" s="56"/>
      <c r="B8" s="228" t="s">
        <v>193</v>
      </c>
      <c r="C8" s="51">
        <v>0</v>
      </c>
      <c r="D8" s="229" t="s">
        <v>0</v>
      </c>
      <c r="E8" s="56"/>
    </row>
    <row r="9" spans="1:5" x14ac:dyDescent="0.25">
      <c r="A9" s="56"/>
      <c r="B9" s="54" t="s">
        <v>36</v>
      </c>
      <c r="C9" s="55">
        <f>SUM(C7:C7)</f>
        <v>10000</v>
      </c>
      <c r="D9" s="192" t="s">
        <v>0</v>
      </c>
      <c r="E9" s="56"/>
    </row>
    <row r="10" spans="1:5" x14ac:dyDescent="0.25">
      <c r="A10" s="56"/>
      <c r="B10" s="56"/>
      <c r="C10" s="183"/>
      <c r="D10" s="56"/>
      <c r="E10" s="56"/>
    </row>
    <row r="11" spans="1:5" x14ac:dyDescent="0.25">
      <c r="A11" s="56"/>
      <c r="B11" s="56"/>
      <c r="C11" s="183"/>
      <c r="D11" s="56"/>
      <c r="E11" s="56"/>
    </row>
    <row r="12" spans="1:5" ht="27.2" customHeight="1" x14ac:dyDescent="0.25">
      <c r="A12" s="56"/>
      <c r="B12" s="20" t="s">
        <v>152</v>
      </c>
      <c r="C12" s="193"/>
      <c r="D12" s="190"/>
      <c r="E12" s="56"/>
    </row>
    <row r="13" spans="1:5" ht="16.7" customHeight="1" x14ac:dyDescent="0.25">
      <c r="A13" s="56"/>
      <c r="B13" s="108" t="s">
        <v>153</v>
      </c>
      <c r="C13" s="19">
        <v>0</v>
      </c>
      <c r="D13" s="153" t="s">
        <v>0</v>
      </c>
      <c r="E13" s="56"/>
    </row>
    <row r="14" spans="1:5" ht="16.7" customHeight="1" x14ac:dyDescent="0.25">
      <c r="A14" s="56"/>
      <c r="B14" s="108" t="s">
        <v>154</v>
      </c>
      <c r="C14" s="40">
        <v>0</v>
      </c>
      <c r="D14" s="153" t="s">
        <v>0</v>
      </c>
      <c r="E14" s="56"/>
    </row>
    <row r="15" spans="1:5" x14ac:dyDescent="0.25">
      <c r="A15" s="56"/>
      <c r="B15" s="28" t="s">
        <v>155</v>
      </c>
      <c r="C15" s="55">
        <f>C13-C14</f>
        <v>0</v>
      </c>
      <c r="D15" s="155" t="s">
        <v>0</v>
      </c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hidden="1" x14ac:dyDescent="0.25">
      <c r="B19" s="195"/>
      <c r="E19" s="196"/>
    </row>
    <row r="20" spans="1:5" ht="15.75" hidden="1" x14ac:dyDescent="0.25">
      <c r="B20" s="196"/>
      <c r="C20" s="196"/>
    </row>
    <row r="21" spans="1:5" ht="15.75" hidden="1" x14ac:dyDescent="0.25">
      <c r="B21" s="196"/>
      <c r="E21" s="196"/>
    </row>
    <row r="22" spans="1:5" ht="15.75" hidden="1" x14ac:dyDescent="0.25">
      <c r="B22" s="196"/>
      <c r="D22" s="196"/>
    </row>
    <row r="23" spans="1:5" ht="15.75" hidden="1" x14ac:dyDescent="0.25">
      <c r="B23" s="196"/>
      <c r="C23" s="196"/>
    </row>
    <row r="24" spans="1:5" ht="15.75" hidden="1" x14ac:dyDescent="0.25">
      <c r="B24" s="196"/>
      <c r="C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5"/>
      <c r="C28" s="195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5"/>
    </row>
    <row r="64" spans="2:2" hidden="1" x14ac:dyDescent="0.25"/>
    <row r="65" spans="1:5" hidden="1" x14ac:dyDescent="0.25"/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4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2" t="str">
        <f>'1. Forside'!A1</f>
        <v>Aarhus Vand AS</v>
      </c>
      <c r="B1" s="26"/>
      <c r="C1" s="26"/>
      <c r="D1" s="26"/>
      <c r="E1" s="26"/>
    </row>
    <row r="2" spans="1:5" x14ac:dyDescent="0.25">
      <c r="A2" s="222" t="str">
        <f>'1. Forside'!A2</f>
        <v>S110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6" t="s">
        <v>122</v>
      </c>
      <c r="C4" s="266"/>
      <c r="D4" s="266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3" t="s">
        <v>156</v>
      </c>
      <c r="C7" s="274"/>
      <c r="D7" s="275"/>
      <c r="E7" s="26"/>
    </row>
    <row r="8" spans="1:5" x14ac:dyDescent="0.25">
      <c r="A8" s="26"/>
      <c r="B8" s="228" t="s">
        <v>189</v>
      </c>
      <c r="C8" s="51">
        <v>2800000</v>
      </c>
      <c r="D8" s="191" t="s">
        <v>0</v>
      </c>
      <c r="E8" s="26"/>
    </row>
    <row r="9" spans="1:5" x14ac:dyDescent="0.25">
      <c r="A9" s="26"/>
      <c r="B9" s="228" t="s">
        <v>190</v>
      </c>
      <c r="C9" s="51">
        <v>130000</v>
      </c>
      <c r="D9" s="191" t="s">
        <v>0</v>
      </c>
      <c r="E9" s="26"/>
    </row>
    <row r="10" spans="1:5" x14ac:dyDescent="0.25">
      <c r="A10" s="26"/>
      <c r="B10" s="228" t="s">
        <v>191</v>
      </c>
      <c r="C10" s="51">
        <v>29471</v>
      </c>
      <c r="D10" s="191" t="s">
        <v>0</v>
      </c>
      <c r="E10" s="26"/>
    </row>
    <row r="11" spans="1:5" x14ac:dyDescent="0.25">
      <c r="A11" s="26"/>
      <c r="B11" s="54" t="s">
        <v>36</v>
      </c>
      <c r="C11" s="55">
        <f xml:space="preserve"> SUM(C8:C10)</f>
        <v>2959471</v>
      </c>
      <c r="D11" s="192" t="s">
        <v>0</v>
      </c>
      <c r="E11" s="26"/>
    </row>
    <row r="12" spans="1:5" x14ac:dyDescent="0.25">
      <c r="A12" s="26"/>
      <c r="B12" s="56"/>
      <c r="C12" s="197"/>
      <c r="D12" s="56"/>
      <c r="E12" s="26"/>
    </row>
    <row r="13" spans="1:5" x14ac:dyDescent="0.25">
      <c r="A13" s="26"/>
      <c r="B13" s="56"/>
      <c r="C13" s="56"/>
      <c r="D13" s="56"/>
      <c r="E13" s="26"/>
    </row>
    <row r="14" spans="1:5" ht="37.5" customHeight="1" x14ac:dyDescent="0.25">
      <c r="A14" s="26"/>
      <c r="B14" s="273" t="s">
        <v>157</v>
      </c>
      <c r="C14" s="274"/>
      <c r="D14" s="275"/>
      <c r="E14" s="26"/>
    </row>
    <row r="15" spans="1:5" ht="15.75" customHeight="1" x14ac:dyDescent="0.25">
      <c r="A15" s="26"/>
      <c r="B15" s="108" t="s">
        <v>158</v>
      </c>
      <c r="C15" s="19">
        <v>1744731</v>
      </c>
      <c r="D15" s="153" t="s">
        <v>0</v>
      </c>
      <c r="E15" s="26"/>
    </row>
    <row r="16" spans="1:5" x14ac:dyDescent="0.25">
      <c r="A16" s="26"/>
      <c r="B16" s="108" t="s">
        <v>159</v>
      </c>
      <c r="C16" s="40">
        <v>2607035</v>
      </c>
      <c r="D16" s="153" t="s">
        <v>0</v>
      </c>
      <c r="E16" s="26"/>
    </row>
    <row r="17" spans="1:5" x14ac:dyDescent="0.25">
      <c r="A17" s="26"/>
      <c r="B17" s="28" t="s">
        <v>160</v>
      </c>
      <c r="C17" s="55">
        <f>C15-C16</f>
        <v>-862304</v>
      </c>
      <c r="D17" s="155" t="s">
        <v>0</v>
      </c>
      <c r="E17" s="26"/>
    </row>
    <row r="18" spans="1:5" x14ac:dyDescent="0.25">
      <c r="A18" s="26"/>
      <c r="B18" s="26"/>
      <c r="C18" s="26"/>
      <c r="D18" s="26"/>
      <c r="E18" s="26"/>
    </row>
    <row r="19" spans="1:5" x14ac:dyDescent="0.25">
      <c r="A19" s="26"/>
      <c r="B19" s="26"/>
      <c r="C19" s="26"/>
      <c r="D19" s="26"/>
      <c r="E19" s="26"/>
    </row>
    <row r="20" spans="1:5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>
      <c r="A30" s="26"/>
      <c r="B30" s="26"/>
      <c r="C30" s="26"/>
      <c r="D30" s="26"/>
      <c r="E30" s="26"/>
    </row>
    <row r="31" spans="1:5" hidden="1" x14ac:dyDescent="0.25">
      <c r="A31" s="26"/>
      <c r="B31" s="26"/>
      <c r="C31" s="26"/>
      <c r="D31" s="26"/>
      <c r="E31" s="26"/>
    </row>
    <row r="32" spans="1:5" hidden="1" x14ac:dyDescent="0.25"/>
    <row r="33" hidden="1" x14ac:dyDescent="0.25"/>
    <row r="34" hidden="1" x14ac:dyDescent="0.25"/>
  </sheetData>
  <sheetProtection password="C6ED" sheet="1" objects="1" scenarios="1"/>
  <mergeCells count="3">
    <mergeCell ref="B4:D4"/>
    <mergeCell ref="B14:D14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2" t="str">
        <f>'1. Forside'!A1</f>
        <v>Aarhus Vand AS</v>
      </c>
      <c r="B1" s="26"/>
      <c r="C1" s="26"/>
      <c r="D1" s="26"/>
      <c r="E1" s="26"/>
    </row>
    <row r="2" spans="1:5" x14ac:dyDescent="0.25">
      <c r="A2" s="222" t="str">
        <f>'1. Forside'!A2</f>
        <v>S110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3" t="s">
        <v>121</v>
      </c>
      <c r="C4" s="263"/>
      <c r="D4" s="263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161</v>
      </c>
      <c r="C6" s="199"/>
      <c r="D6" s="200"/>
      <c r="E6" s="26"/>
    </row>
    <row r="7" spans="1:5" x14ac:dyDescent="0.25">
      <c r="A7" s="26"/>
      <c r="B7" s="110" t="s">
        <v>162</v>
      </c>
      <c r="C7" s="51">
        <v>10000000</v>
      </c>
      <c r="D7" s="191" t="s">
        <v>0</v>
      </c>
      <c r="E7" s="26"/>
    </row>
    <row r="8" spans="1:5" x14ac:dyDescent="0.25">
      <c r="A8" s="26"/>
      <c r="B8" s="110" t="s">
        <v>163</v>
      </c>
      <c r="C8" s="51">
        <v>1500000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8500000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167</v>
      </c>
      <c r="C12" s="201"/>
      <c r="D12" s="200"/>
      <c r="E12" s="26"/>
    </row>
    <row r="13" spans="1:5" x14ac:dyDescent="0.25">
      <c r="A13" s="26"/>
      <c r="B13" s="108" t="s">
        <v>164</v>
      </c>
      <c r="C13" s="19">
        <v>7834801</v>
      </c>
      <c r="D13" s="153" t="s">
        <v>0</v>
      </c>
      <c r="E13" s="26"/>
    </row>
    <row r="14" spans="1:5" x14ac:dyDescent="0.25">
      <c r="A14" s="26"/>
      <c r="B14" s="108" t="s">
        <v>165</v>
      </c>
      <c r="C14" s="40">
        <v>8500000</v>
      </c>
      <c r="D14" s="153" t="s">
        <v>0</v>
      </c>
      <c r="E14" s="26"/>
    </row>
    <row r="15" spans="1:5" x14ac:dyDescent="0.25">
      <c r="A15" s="26"/>
      <c r="B15" s="28" t="s">
        <v>166</v>
      </c>
      <c r="C15" s="55">
        <f>C13-C14</f>
        <v>-665199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2" t="str">
        <f>'1. Forside'!A1</f>
        <v>Aarhus Vand AS</v>
      </c>
      <c r="B1" s="26"/>
      <c r="C1" s="26"/>
      <c r="D1" s="26"/>
      <c r="E1" s="26"/>
    </row>
    <row r="2" spans="1:5" x14ac:dyDescent="0.25">
      <c r="A2" s="222" t="str">
        <f>'1. Forside'!A2</f>
        <v>S110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6" t="s">
        <v>120</v>
      </c>
      <c r="C4" s="266"/>
      <c r="D4" s="266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48943000</v>
      </c>
      <c r="D7" s="191" t="s">
        <v>0</v>
      </c>
      <c r="E7" s="26"/>
    </row>
    <row r="8" spans="1:5" x14ac:dyDescent="0.25">
      <c r="A8" s="26"/>
      <c r="B8" s="111" t="s">
        <v>168</v>
      </c>
      <c r="C8" s="51">
        <v>27311107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21631893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4326378.5999999996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Aarhus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S110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119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390743663.7335127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170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175514627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171</v>
      </c>
      <c r="C10" s="14">
        <v>19156347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172</v>
      </c>
      <c r="C11" s="14">
        <v>745433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173</v>
      </c>
      <c r="C12" s="14">
        <v>12720600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208137007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32025667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886000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32911667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30212923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-11256524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-203171429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-56328141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-505503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-271261597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174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174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396858937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396858937</v>
      </c>
      <c r="D36" s="79" t="s">
        <v>0</v>
      </c>
      <c r="E36" s="10">
        <f>-C36</f>
        <v>-396858937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-6115273.2664873004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2" t="str">
        <f>'1. Forside'!A1</f>
        <v>Aarhus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2" t="str">
        <f>'1. Forside'!A2</f>
        <v>S110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3" t="s">
        <v>169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23653242</v>
      </c>
      <c r="D7" s="223" t="s">
        <v>0</v>
      </c>
      <c r="E7" s="224">
        <v>28772618</v>
      </c>
      <c r="F7" s="223" t="s">
        <v>0</v>
      </c>
      <c r="G7" s="224">
        <v>26616205</v>
      </c>
      <c r="H7" s="223" t="s">
        <v>0</v>
      </c>
      <c r="I7" s="224"/>
      <c r="J7" s="223" t="s">
        <v>0</v>
      </c>
      <c r="K7" s="224"/>
      <c r="L7" s="223" t="s">
        <v>0</v>
      </c>
      <c r="M7" s="26"/>
    </row>
    <row r="8" spans="1:13" x14ac:dyDescent="0.25">
      <c r="A8" s="26"/>
      <c r="B8" s="58" t="s">
        <v>75</v>
      </c>
      <c r="C8" s="225">
        <v>0</v>
      </c>
      <c r="D8" s="223" t="s">
        <v>0</v>
      </c>
      <c r="E8" s="225">
        <v>23653242</v>
      </c>
      <c r="F8" s="223" t="s">
        <v>0</v>
      </c>
      <c r="G8" s="225">
        <v>30212923</v>
      </c>
      <c r="H8" s="223" t="s">
        <v>0</v>
      </c>
      <c r="I8" s="224"/>
      <c r="J8" s="223" t="s">
        <v>0</v>
      </c>
      <c r="K8" s="224"/>
      <c r="L8" s="223" t="s">
        <v>0</v>
      </c>
      <c r="M8" s="26"/>
    </row>
    <row r="9" spans="1:13" x14ac:dyDescent="0.25">
      <c r="A9" s="26"/>
      <c r="B9" s="58" t="s">
        <v>74</v>
      </c>
      <c r="C9" s="225">
        <v>0</v>
      </c>
      <c r="D9" s="223" t="s">
        <v>0</v>
      </c>
      <c r="E9" s="225">
        <v>0</v>
      </c>
      <c r="F9" s="223" t="s">
        <v>0</v>
      </c>
      <c r="G9" s="225">
        <v>0</v>
      </c>
      <c r="H9" s="223" t="s">
        <v>0</v>
      </c>
      <c r="I9" s="224"/>
      <c r="J9" s="223" t="s">
        <v>0</v>
      </c>
      <c r="K9" s="224"/>
      <c r="L9" s="223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3" t="s">
        <v>0</v>
      </c>
      <c r="E10" s="61">
        <v>0</v>
      </c>
      <c r="F10" s="223" t="s">
        <v>0</v>
      </c>
      <c r="G10" s="61">
        <v>0</v>
      </c>
      <c r="H10" s="223" t="s">
        <v>0</v>
      </c>
      <c r="I10" s="61"/>
      <c r="J10" s="223" t="s">
        <v>0</v>
      </c>
      <c r="K10" s="226">
        <f>IF(C11&gt;SUM(E8:I9),C11-SUM(E8:I9),0)*-1</f>
        <v>0</v>
      </c>
      <c r="L10" s="223" t="s">
        <v>0</v>
      </c>
      <c r="M10" s="26"/>
    </row>
    <row r="11" spans="1:13" x14ac:dyDescent="0.25">
      <c r="A11" s="26"/>
      <c r="B11" s="28" t="s">
        <v>48</v>
      </c>
      <c r="C11" s="55">
        <f>C7-C8-C9</f>
        <v>23653242</v>
      </c>
      <c r="D11" s="227" t="s">
        <v>0</v>
      </c>
      <c r="E11" s="55">
        <f>C11+E7-E8-E9</f>
        <v>28772618</v>
      </c>
      <c r="F11" s="227" t="s">
        <v>0</v>
      </c>
      <c r="G11" s="55">
        <f>E11+G7-G8-G9</f>
        <v>25175900</v>
      </c>
      <c r="H11" s="227" t="s">
        <v>0</v>
      </c>
      <c r="I11" s="55">
        <f>G11+I7-I8-I9</f>
        <v>25175900</v>
      </c>
      <c r="J11" s="227" t="s">
        <v>0</v>
      </c>
      <c r="K11" s="55">
        <f>K7-K8-K9+K10+I11</f>
        <v>25175900</v>
      </c>
      <c r="L11" s="227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Aarhus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S110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106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134680281.14150062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-511785.06833770237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-1420877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132747619.07316291</v>
      </c>
      <c r="D13" s="79" t="s">
        <v>0</v>
      </c>
      <c r="E13" s="6">
        <f>C13</f>
        <v>132747619.07316291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169315390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110</v>
      </c>
      <c r="C16" s="14">
        <f>'6. Gennemførte investeringer'!F26</f>
        <v>27337048.510238096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111</v>
      </c>
      <c r="C17" s="14">
        <f>'7. Korrektion investeringer'!C10</f>
        <v>-1038497.1766666658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112</v>
      </c>
      <c r="C18" s="14">
        <f>'8. Planlagte investeringer'!F26</f>
        <v>14778000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210391941.33357143</v>
      </c>
      <c r="D19" s="79" t="s">
        <v>0</v>
      </c>
      <c r="E19" s="8">
        <f>C19</f>
        <v>210391941.33357143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145</v>
      </c>
      <c r="C21" s="14">
        <f>'9. 1-1 omkostninger'!C13</f>
        <v>24916500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183</v>
      </c>
      <c r="C22" s="14">
        <f>'9. 1-1 omkostninger'!C19</f>
        <v>232500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113</v>
      </c>
      <c r="C23" s="14">
        <f>'9. 1-1 omkostninger'!C25</f>
        <v>4233329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151</v>
      </c>
      <c r="C24" s="14">
        <f>'10. Miljø- og servicemål'!C9</f>
        <v>10000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114</v>
      </c>
      <c r="C25" s="14">
        <f>'10. Miljø- og servicemål'!C15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184</v>
      </c>
      <c r="C26" s="14">
        <f>'11. Klimatilpasning'!C11</f>
        <v>2959471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185</v>
      </c>
      <c r="C27" s="14">
        <f>'11. Klimatilpasning'!C17</f>
        <v>-862304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186</v>
      </c>
      <c r="C28" s="14">
        <f>'12. Nettofinansielle poster'!C9</f>
        <v>8500000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115</v>
      </c>
      <c r="C29" s="14">
        <f>'12. Nettofinansielle poster'!C15</f>
        <v>-665199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39324297</v>
      </c>
      <c r="D30" s="79" t="s">
        <v>0</v>
      </c>
      <c r="E30" s="6">
        <f>C30</f>
        <v>39324297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4326378.5999999996</v>
      </c>
      <c r="D32" s="79" t="s">
        <v>0</v>
      </c>
      <c r="E32" s="10">
        <f>C32</f>
        <v>4326378.5999999996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188</v>
      </c>
      <c r="C34" s="11">
        <f>'14. Kontrol med indtægtsrammen'!E37</f>
        <v>-6115273.2664873004</v>
      </c>
      <c r="D34" s="79" t="s">
        <v>0</v>
      </c>
      <c r="E34" s="12">
        <f>C34</f>
        <v>-6115273.2664873004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116</v>
      </c>
      <c r="C36" s="11"/>
      <c r="D36" s="100"/>
      <c r="E36" s="10">
        <f>E13+E19+E30+E32+E34</f>
        <v>380674962.74024707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117</v>
      </c>
      <c r="C37" s="101"/>
      <c r="D37" s="102"/>
      <c r="E37" s="142">
        <v>15269083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118</v>
      </c>
      <c r="C38" s="104"/>
      <c r="D38" s="105"/>
      <c r="E38" s="67">
        <f>E36/E37</f>
        <v>24.93109525570377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3"/>
      <c r="B49" s="213"/>
      <c r="C49" s="214"/>
      <c r="D49" s="215"/>
      <c r="E49" s="216"/>
      <c r="F49" s="215"/>
      <c r="G49" s="213"/>
    </row>
    <row r="50" spans="1:7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Aarhus 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S110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3" t="s">
        <v>129</v>
      </c>
      <c r="C4" s="263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175</v>
      </c>
      <c r="C6" s="152"/>
      <c r="D6" s="152"/>
      <c r="E6" s="26"/>
    </row>
    <row r="7" spans="1:16384" s="150" customFormat="1" ht="14.1" customHeight="1" x14ac:dyDescent="0.25">
      <c r="A7" s="26"/>
      <c r="B7" s="22" t="s">
        <v>176</v>
      </c>
      <c r="C7" s="40">
        <v>134680281.14150062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177</v>
      </c>
      <c r="C9" s="27">
        <f>C7+C8</f>
        <v>134680281.14150062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178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179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176</v>
      </c>
      <c r="C18" s="40">
        <v>134680281.14150062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180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-511785.06833770237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Aarhus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S110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128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134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7">
        <v>111097763.91362387</v>
      </c>
      <c r="D7" s="153" t="s">
        <v>0</v>
      </c>
      <c r="E7" s="26"/>
    </row>
    <row r="8" spans="1:5" ht="14.1" customHeight="1" x14ac:dyDescent="0.25">
      <c r="A8" s="26"/>
      <c r="B8" s="22" t="s">
        <v>181</v>
      </c>
      <c r="C8" s="40">
        <f>'3. Driftsomkostninger'!C18+'3. Driftsomkostninger'!C20</f>
        <v>134168496.07316291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176</v>
      </c>
      <c r="C13" s="40">
        <f>'3. Driftsomkostninger'!C18</f>
        <v>134680281.14150062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182</v>
      </c>
      <c r="C19" s="217">
        <v>5683507.8641713262</v>
      </c>
      <c r="D19" s="153" t="s">
        <v>0</v>
      </c>
      <c r="E19" s="26"/>
    </row>
    <row r="20" spans="1:5" ht="14.1" customHeight="1" x14ac:dyDescent="0.25">
      <c r="A20" s="26"/>
      <c r="B20" s="28" t="s">
        <v>187</v>
      </c>
      <c r="C20" s="27">
        <v>1420877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Aarhus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S110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127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7208968962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169315390</v>
      </c>
      <c r="D8" s="153" t="s">
        <v>0</v>
      </c>
      <c r="E8" s="26"/>
    </row>
    <row r="9" spans="1:5" ht="14.1" customHeight="1" x14ac:dyDescent="0.25">
      <c r="A9" s="26"/>
      <c r="B9" s="28" t="s">
        <v>130</v>
      </c>
      <c r="C9" s="27">
        <f>C8</f>
        <v>169315390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Aarhus 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S110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4" t="s">
        <v>131</v>
      </c>
      <c r="C4" s="264"/>
      <c r="D4" s="264"/>
      <c r="E4" s="264"/>
      <c r="F4" s="264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136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5" t="s">
        <v>52</v>
      </c>
      <c r="G7" s="265"/>
      <c r="H7" s="26"/>
    </row>
    <row r="8" spans="1:8" s="150" customFormat="1" x14ac:dyDescent="0.25">
      <c r="A8" s="26"/>
      <c r="B8" s="29" t="s">
        <v>194</v>
      </c>
      <c r="C8" s="30" t="s">
        <v>210</v>
      </c>
      <c r="D8" s="31" t="s">
        <v>211</v>
      </c>
      <c r="E8" s="32">
        <v>59393</v>
      </c>
      <c r="F8" s="34">
        <f t="shared" ref="F8" si="0">E8/D8</f>
        <v>1484.825</v>
      </c>
      <c r="G8" s="35" t="s">
        <v>0</v>
      </c>
      <c r="H8" s="26"/>
    </row>
    <row r="9" spans="1:8" s="150" customFormat="1" x14ac:dyDescent="0.25">
      <c r="A9" s="26"/>
      <c r="B9" s="29" t="s">
        <v>195</v>
      </c>
      <c r="C9" s="30" t="s">
        <v>210</v>
      </c>
      <c r="D9" s="31" t="s">
        <v>212</v>
      </c>
      <c r="E9" s="32">
        <v>184797072</v>
      </c>
      <c r="F9" s="34">
        <f t="shared" ref="F9:F23" si="1">E9/D9</f>
        <v>2463960.96</v>
      </c>
      <c r="G9" s="35" t="s">
        <v>0</v>
      </c>
      <c r="H9" s="26"/>
    </row>
    <row r="10" spans="1:8" s="150" customFormat="1" x14ac:dyDescent="0.25">
      <c r="A10" s="26"/>
      <c r="B10" s="29" t="s">
        <v>196</v>
      </c>
      <c r="C10" s="30" t="s">
        <v>210</v>
      </c>
      <c r="D10" s="31" t="s">
        <v>213</v>
      </c>
      <c r="E10" s="32">
        <v>25585930</v>
      </c>
      <c r="F10" s="34">
        <f t="shared" si="1"/>
        <v>511718.6</v>
      </c>
      <c r="G10" s="35" t="s">
        <v>0</v>
      </c>
      <c r="H10" s="26"/>
    </row>
    <row r="11" spans="1:8" s="150" customFormat="1" x14ac:dyDescent="0.25">
      <c r="A11" s="26"/>
      <c r="B11" s="29" t="s">
        <v>197</v>
      </c>
      <c r="C11" s="30" t="s">
        <v>210</v>
      </c>
      <c r="D11" s="31" t="s">
        <v>214</v>
      </c>
      <c r="E11" s="32">
        <v>2044924</v>
      </c>
      <c r="F11" s="34">
        <f t="shared" si="1"/>
        <v>102246.2</v>
      </c>
      <c r="G11" s="35" t="s">
        <v>0</v>
      </c>
      <c r="H11" s="26"/>
    </row>
    <row r="12" spans="1:8" s="150" customFormat="1" x14ac:dyDescent="0.25">
      <c r="A12" s="26"/>
      <c r="B12" s="29" t="s">
        <v>198</v>
      </c>
      <c r="C12" s="30" t="s">
        <v>210</v>
      </c>
      <c r="D12" s="31" t="s">
        <v>215</v>
      </c>
      <c r="E12" s="32">
        <v>2381496</v>
      </c>
      <c r="F12" s="34">
        <f t="shared" si="1"/>
        <v>238149.6</v>
      </c>
      <c r="G12" s="35" t="s">
        <v>0</v>
      </c>
      <c r="H12" s="26"/>
    </row>
    <row r="13" spans="1:8" s="150" customFormat="1" x14ac:dyDescent="0.25">
      <c r="A13" s="26"/>
      <c r="B13" s="29" t="s">
        <v>199</v>
      </c>
      <c r="C13" s="30" t="s">
        <v>210</v>
      </c>
      <c r="D13" s="31" t="s">
        <v>215</v>
      </c>
      <c r="E13" s="32">
        <v>926504</v>
      </c>
      <c r="F13" s="34">
        <f t="shared" si="1"/>
        <v>92650.4</v>
      </c>
      <c r="G13" s="35" t="s">
        <v>0</v>
      </c>
      <c r="H13" s="26"/>
    </row>
    <row r="14" spans="1:8" s="150" customFormat="1" x14ac:dyDescent="0.25">
      <c r="A14" s="26"/>
      <c r="B14" s="29" t="s">
        <v>200</v>
      </c>
      <c r="C14" s="30" t="s">
        <v>210</v>
      </c>
      <c r="D14" s="31" t="s">
        <v>214</v>
      </c>
      <c r="E14" s="32">
        <v>8325940</v>
      </c>
      <c r="F14" s="34">
        <f t="shared" si="1"/>
        <v>416297</v>
      </c>
      <c r="G14" s="35" t="s">
        <v>0</v>
      </c>
      <c r="H14" s="26"/>
    </row>
    <row r="15" spans="1:8" s="150" customFormat="1" x14ac:dyDescent="0.25">
      <c r="A15" s="26"/>
      <c r="B15" s="29" t="s">
        <v>201</v>
      </c>
      <c r="C15" s="30" t="s">
        <v>210</v>
      </c>
      <c r="D15" s="31" t="s">
        <v>212</v>
      </c>
      <c r="E15" s="32">
        <v>833083</v>
      </c>
      <c r="F15" s="34">
        <f t="shared" si="1"/>
        <v>11107.773333333333</v>
      </c>
      <c r="G15" s="35" t="s">
        <v>0</v>
      </c>
      <c r="H15" s="26"/>
    </row>
    <row r="16" spans="1:8" s="150" customFormat="1" x14ac:dyDescent="0.25">
      <c r="A16" s="26"/>
      <c r="B16" s="29" t="s">
        <v>202</v>
      </c>
      <c r="C16" s="30" t="s">
        <v>210</v>
      </c>
      <c r="D16" s="31" t="s">
        <v>213</v>
      </c>
      <c r="E16" s="32">
        <v>5759859</v>
      </c>
      <c r="F16" s="34">
        <f t="shared" si="1"/>
        <v>115197.18</v>
      </c>
      <c r="G16" s="35" t="s">
        <v>0</v>
      </c>
      <c r="H16" s="26"/>
    </row>
    <row r="17" spans="1:8" s="150" customFormat="1" ht="26.25" x14ac:dyDescent="0.25">
      <c r="A17" s="26"/>
      <c r="B17" s="29" t="s">
        <v>203</v>
      </c>
      <c r="C17" s="30" t="s">
        <v>210</v>
      </c>
      <c r="D17" s="31" t="s">
        <v>212</v>
      </c>
      <c r="E17" s="32">
        <v>11655799</v>
      </c>
      <c r="F17" s="34">
        <f t="shared" si="1"/>
        <v>155410.65333333332</v>
      </c>
      <c r="G17" s="35" t="s">
        <v>0</v>
      </c>
      <c r="H17" s="26"/>
    </row>
    <row r="18" spans="1:8" s="150" customFormat="1" x14ac:dyDescent="0.25">
      <c r="A18" s="26"/>
      <c r="B18" s="29" t="s">
        <v>204</v>
      </c>
      <c r="C18" s="30" t="s">
        <v>210</v>
      </c>
      <c r="D18" s="31" t="s">
        <v>213</v>
      </c>
      <c r="E18" s="32">
        <v>28154916</v>
      </c>
      <c r="F18" s="34">
        <f t="shared" si="1"/>
        <v>563098.31999999995</v>
      </c>
      <c r="G18" s="35" t="s">
        <v>0</v>
      </c>
      <c r="H18" s="26"/>
    </row>
    <row r="19" spans="1:8" s="150" customFormat="1" x14ac:dyDescent="0.25">
      <c r="A19" s="26"/>
      <c r="B19" s="29" t="s">
        <v>205</v>
      </c>
      <c r="C19" s="30" t="s">
        <v>210</v>
      </c>
      <c r="D19" s="31" t="s">
        <v>216</v>
      </c>
      <c r="E19" s="32">
        <v>424888</v>
      </c>
      <c r="F19" s="34">
        <f t="shared" si="1"/>
        <v>84977.600000000006</v>
      </c>
      <c r="G19" s="35" t="s">
        <v>0</v>
      </c>
      <c r="H19" s="26"/>
    </row>
    <row r="20" spans="1:8" s="150" customFormat="1" x14ac:dyDescent="0.25">
      <c r="A20" s="26"/>
      <c r="B20" s="29" t="s">
        <v>206</v>
      </c>
      <c r="C20" s="30" t="s">
        <v>210</v>
      </c>
      <c r="D20" s="31" t="s">
        <v>212</v>
      </c>
      <c r="E20" s="32">
        <v>2305542</v>
      </c>
      <c r="F20" s="34">
        <f t="shared" si="1"/>
        <v>30740.560000000001</v>
      </c>
      <c r="G20" s="35" t="s">
        <v>0</v>
      </c>
      <c r="H20" s="26"/>
    </row>
    <row r="21" spans="1:8" s="150" customFormat="1" x14ac:dyDescent="0.25">
      <c r="A21" s="26"/>
      <c r="B21" s="29" t="s">
        <v>207</v>
      </c>
      <c r="C21" s="30" t="s">
        <v>210</v>
      </c>
      <c r="D21" s="31" t="s">
        <v>212</v>
      </c>
      <c r="E21" s="32">
        <v>242666</v>
      </c>
      <c r="F21" s="34">
        <f t="shared" si="1"/>
        <v>3235.5466666666666</v>
      </c>
      <c r="G21" s="35" t="s">
        <v>0</v>
      </c>
      <c r="H21" s="26"/>
    </row>
    <row r="22" spans="1:8" s="150" customFormat="1" x14ac:dyDescent="0.25">
      <c r="A22" s="26"/>
      <c r="B22" s="29" t="s">
        <v>208</v>
      </c>
      <c r="C22" s="30" t="s">
        <v>210</v>
      </c>
      <c r="D22" s="31" t="s">
        <v>216</v>
      </c>
      <c r="E22" s="32">
        <v>4241949</v>
      </c>
      <c r="F22" s="34">
        <f t="shared" si="1"/>
        <v>848389.8</v>
      </c>
      <c r="G22" s="35" t="s">
        <v>0</v>
      </c>
      <c r="H22" s="26"/>
    </row>
    <row r="23" spans="1:8" s="150" customFormat="1" x14ac:dyDescent="0.25">
      <c r="A23" s="26"/>
      <c r="B23" s="29" t="s">
        <v>209</v>
      </c>
      <c r="C23" s="30" t="s">
        <v>210</v>
      </c>
      <c r="D23" s="31" t="s">
        <v>212</v>
      </c>
      <c r="E23" s="32">
        <v>431467</v>
      </c>
      <c r="F23" s="34">
        <f t="shared" si="1"/>
        <v>5752.8933333333334</v>
      </c>
      <c r="G23" s="35" t="s">
        <v>0</v>
      </c>
      <c r="H23" s="26"/>
    </row>
    <row r="24" spans="1:8" s="150" customFormat="1" x14ac:dyDescent="0.25">
      <c r="A24" s="26"/>
      <c r="B24" s="23" t="s">
        <v>72</v>
      </c>
      <c r="C24" s="160"/>
      <c r="D24" s="160"/>
      <c r="E24" s="160"/>
      <c r="F24" s="36">
        <f>SUM(F8:F23)</f>
        <v>5644417.9116666671</v>
      </c>
      <c r="G24" s="37" t="s">
        <v>0</v>
      </c>
      <c r="H24" s="26"/>
    </row>
    <row r="25" spans="1:8" s="150" customFormat="1" x14ac:dyDescent="0.25">
      <c r="A25" s="26"/>
      <c r="B25" s="107" t="s">
        <v>137</v>
      </c>
      <c r="C25" s="161"/>
      <c r="D25" s="161"/>
      <c r="E25" s="161"/>
      <c r="F25" s="66">
        <v>21692630.598571427</v>
      </c>
      <c r="G25" s="37" t="s">
        <v>0</v>
      </c>
      <c r="H25" s="26"/>
    </row>
    <row r="26" spans="1:8" s="150" customFormat="1" x14ac:dyDescent="0.25">
      <c r="A26" s="26"/>
      <c r="B26" s="39" t="s">
        <v>69</v>
      </c>
      <c r="C26" s="162"/>
      <c r="D26" s="162"/>
      <c r="E26" s="163"/>
      <c r="F26" s="38">
        <f>F24+F25</f>
        <v>27337048.510238096</v>
      </c>
      <c r="G26" s="38" t="s">
        <v>0</v>
      </c>
      <c r="H26" s="26"/>
    </row>
    <row r="27" spans="1:8" s="150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50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50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50" customFormat="1" hidden="1" x14ac:dyDescent="0.25"/>
    <row r="31" spans="1:8" s="150" customFormat="1" hidden="1" x14ac:dyDescent="0.25"/>
    <row r="32" spans="1:8" s="150" customFormat="1" hidden="1" x14ac:dyDescent="0.25"/>
    <row r="33" s="150" customFormat="1" ht="14.45" hidden="1" customHeight="1" x14ac:dyDescent="0.25"/>
    <row r="34" s="150" customFormat="1" ht="14.4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Aarhus Vand AS</v>
      </c>
      <c r="B1" s="164"/>
      <c r="C1" s="164"/>
      <c r="D1" s="164"/>
      <c r="E1" s="164"/>
    </row>
    <row r="2" spans="1:5" x14ac:dyDescent="0.25">
      <c r="A2" s="1" t="str">
        <f>'1. Forside'!A2</f>
        <v>S110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3" t="s">
        <v>126</v>
      </c>
      <c r="C4" s="263"/>
      <c r="D4" s="263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138</v>
      </c>
      <c r="C6" s="165"/>
      <c r="D6" s="165"/>
      <c r="E6" s="164"/>
    </row>
    <row r="7" spans="1:5" x14ac:dyDescent="0.25">
      <c r="A7" s="164"/>
      <c r="B7" s="108" t="s">
        <v>139</v>
      </c>
      <c r="C7" s="19">
        <v>6269333</v>
      </c>
      <c r="D7" s="153" t="s">
        <v>0</v>
      </c>
      <c r="E7" s="164"/>
    </row>
    <row r="8" spans="1:5" x14ac:dyDescent="0.25">
      <c r="A8" s="164"/>
      <c r="B8" s="108" t="s">
        <v>140</v>
      </c>
      <c r="C8" s="19">
        <v>6058000</v>
      </c>
      <c r="D8" s="153" t="s">
        <v>0</v>
      </c>
      <c r="E8" s="164"/>
    </row>
    <row r="9" spans="1:5" ht="15" customHeight="1" x14ac:dyDescent="0.25">
      <c r="A9" s="164"/>
      <c r="B9" s="108" t="s">
        <v>141</v>
      </c>
      <c r="C9" s="40">
        <f>'6. Gennemførte investeringer'!F24</f>
        <v>5644417.9116666671</v>
      </c>
      <c r="D9" s="153" t="s">
        <v>0</v>
      </c>
      <c r="E9" s="164"/>
    </row>
    <row r="10" spans="1:5" x14ac:dyDescent="0.25">
      <c r="A10" s="164"/>
      <c r="B10" s="28" t="s">
        <v>138</v>
      </c>
      <c r="C10" s="21">
        <f>C9-C7+C9-C8</f>
        <v>-1038497.1766666658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Aarhus 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S110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3" t="s">
        <v>125</v>
      </c>
      <c r="C4" s="263"/>
      <c r="D4" s="263"/>
      <c r="E4" s="263"/>
      <c r="F4" s="263"/>
      <c r="G4" s="263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112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5" t="s">
        <v>56</v>
      </c>
      <c r="G7" s="265"/>
      <c r="H7" s="26"/>
    </row>
    <row r="8" spans="1:8" s="150" customFormat="1" x14ac:dyDescent="0.25">
      <c r="A8" s="26"/>
      <c r="B8" s="29" t="s">
        <v>195</v>
      </c>
      <c r="C8" s="30">
        <v>2015</v>
      </c>
      <c r="D8" s="31">
        <v>75</v>
      </c>
      <c r="E8" s="32">
        <v>186000000</v>
      </c>
      <c r="F8" s="45">
        <f>E8/D8</f>
        <v>2480000</v>
      </c>
      <c r="G8" s="35" t="s">
        <v>0</v>
      </c>
      <c r="H8" s="26"/>
    </row>
    <row r="9" spans="1:8" s="150" customFormat="1" x14ac:dyDescent="0.25">
      <c r="A9" s="26"/>
      <c r="B9" s="29" t="s">
        <v>196</v>
      </c>
      <c r="C9" s="30">
        <v>2015</v>
      </c>
      <c r="D9" s="31">
        <v>50</v>
      </c>
      <c r="E9" s="32">
        <v>23900000</v>
      </c>
      <c r="F9" s="45">
        <f t="shared" ref="F9:F23" si="0">E9/D9</f>
        <v>478000</v>
      </c>
      <c r="G9" s="35" t="s">
        <v>0</v>
      </c>
      <c r="H9" s="26"/>
    </row>
    <row r="10" spans="1:8" s="150" customFormat="1" x14ac:dyDescent="0.25">
      <c r="A10" s="26"/>
      <c r="B10" s="29" t="s">
        <v>217</v>
      </c>
      <c r="C10" s="30">
        <v>2015</v>
      </c>
      <c r="D10" s="31">
        <v>20</v>
      </c>
      <c r="E10" s="32">
        <v>20000000</v>
      </c>
      <c r="F10" s="45">
        <f t="shared" si="0"/>
        <v>1000000</v>
      </c>
      <c r="G10" s="35" t="s">
        <v>0</v>
      </c>
      <c r="H10" s="26"/>
    </row>
    <row r="11" spans="1:8" s="150" customFormat="1" x14ac:dyDescent="0.25">
      <c r="A11" s="26"/>
      <c r="B11" s="29" t="s">
        <v>200</v>
      </c>
      <c r="C11" s="30">
        <v>2015</v>
      </c>
      <c r="D11" s="31">
        <v>20</v>
      </c>
      <c r="E11" s="32">
        <v>20000000</v>
      </c>
      <c r="F11" s="45">
        <f t="shared" si="0"/>
        <v>1000000</v>
      </c>
      <c r="G11" s="35" t="s">
        <v>0</v>
      </c>
      <c r="H11" s="26"/>
    </row>
    <row r="12" spans="1:8" s="150" customFormat="1" x14ac:dyDescent="0.25">
      <c r="A12" s="26"/>
      <c r="B12" s="29" t="s">
        <v>218</v>
      </c>
      <c r="C12" s="30">
        <v>2015</v>
      </c>
      <c r="D12" s="31">
        <v>50</v>
      </c>
      <c r="E12" s="32">
        <v>77500000</v>
      </c>
      <c r="F12" s="45">
        <f t="shared" si="0"/>
        <v>1550000</v>
      </c>
      <c r="G12" s="35" t="s">
        <v>0</v>
      </c>
      <c r="H12" s="26"/>
    </row>
    <row r="13" spans="1:8" s="150" customFormat="1" x14ac:dyDescent="0.25">
      <c r="A13" s="26"/>
      <c r="B13" s="29" t="s">
        <v>207</v>
      </c>
      <c r="C13" s="30">
        <v>2015</v>
      </c>
      <c r="D13" s="31">
        <v>75</v>
      </c>
      <c r="E13" s="32">
        <v>1500000</v>
      </c>
      <c r="F13" s="45">
        <f t="shared" si="0"/>
        <v>20000</v>
      </c>
      <c r="G13" s="35" t="s">
        <v>0</v>
      </c>
      <c r="H13" s="26"/>
    </row>
    <row r="14" spans="1:8" s="150" customFormat="1" x14ac:dyDescent="0.25">
      <c r="A14" s="26"/>
      <c r="B14" s="29" t="s">
        <v>206</v>
      </c>
      <c r="C14" s="30">
        <v>2015</v>
      </c>
      <c r="D14" s="31">
        <v>5</v>
      </c>
      <c r="E14" s="32">
        <v>3400000</v>
      </c>
      <c r="F14" s="45">
        <f t="shared" si="0"/>
        <v>680000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>
        <v>2016</v>
      </c>
      <c r="D15" s="31">
        <v>75</v>
      </c>
      <c r="E15" s="32">
        <v>180000000</v>
      </c>
      <c r="F15" s="45">
        <f t="shared" si="0"/>
        <v>2400000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>
        <v>2016</v>
      </c>
      <c r="D16" s="31">
        <v>50</v>
      </c>
      <c r="E16" s="32">
        <v>20000000</v>
      </c>
      <c r="F16" s="45">
        <f t="shared" si="0"/>
        <v>400000</v>
      </c>
      <c r="G16" s="35" t="s">
        <v>0</v>
      </c>
      <c r="H16" s="26"/>
    </row>
    <row r="17" spans="1:8" s="150" customFormat="1" x14ac:dyDescent="0.25">
      <c r="A17" s="26"/>
      <c r="B17" s="29" t="s">
        <v>217</v>
      </c>
      <c r="C17" s="30">
        <v>2016</v>
      </c>
      <c r="D17" s="31">
        <v>20</v>
      </c>
      <c r="E17" s="32">
        <v>10000000</v>
      </c>
      <c r="F17" s="45">
        <f t="shared" si="0"/>
        <v>500000</v>
      </c>
      <c r="G17" s="35" t="s">
        <v>0</v>
      </c>
      <c r="H17" s="26"/>
    </row>
    <row r="18" spans="1:8" s="150" customFormat="1" x14ac:dyDescent="0.25">
      <c r="A18" s="26"/>
      <c r="B18" s="29" t="s">
        <v>219</v>
      </c>
      <c r="C18" s="30">
        <v>2016</v>
      </c>
      <c r="D18" s="31">
        <v>60</v>
      </c>
      <c r="E18" s="32">
        <v>39000000</v>
      </c>
      <c r="F18" s="45">
        <f t="shared" si="0"/>
        <v>650000</v>
      </c>
      <c r="G18" s="35" t="s">
        <v>0</v>
      </c>
      <c r="H18" s="26"/>
    </row>
    <row r="19" spans="1:8" s="150" customFormat="1" x14ac:dyDescent="0.25">
      <c r="A19" s="26"/>
      <c r="B19" s="29" t="s">
        <v>220</v>
      </c>
      <c r="C19" s="30">
        <v>2016</v>
      </c>
      <c r="D19" s="31">
        <v>20</v>
      </c>
      <c r="E19" s="32">
        <v>16000000</v>
      </c>
      <c r="F19" s="45">
        <f t="shared" si="0"/>
        <v>800000</v>
      </c>
      <c r="G19" s="35" t="s">
        <v>0</v>
      </c>
      <c r="H19" s="26"/>
    </row>
    <row r="20" spans="1:8" s="150" customFormat="1" x14ac:dyDescent="0.25">
      <c r="A20" s="26"/>
      <c r="B20" s="29" t="s">
        <v>221</v>
      </c>
      <c r="C20" s="30">
        <v>2016</v>
      </c>
      <c r="D20" s="31">
        <v>10</v>
      </c>
      <c r="E20" s="32">
        <v>8000000</v>
      </c>
      <c r="F20" s="45">
        <f t="shared" si="0"/>
        <v>800000</v>
      </c>
      <c r="G20" s="35" t="s">
        <v>0</v>
      </c>
      <c r="H20" s="26"/>
    </row>
    <row r="21" spans="1:8" s="150" customFormat="1" x14ac:dyDescent="0.25">
      <c r="A21" s="26"/>
      <c r="B21" s="29" t="s">
        <v>200</v>
      </c>
      <c r="C21" s="30">
        <v>2016</v>
      </c>
      <c r="D21" s="31">
        <v>20</v>
      </c>
      <c r="E21" s="32">
        <v>20000000</v>
      </c>
      <c r="F21" s="45">
        <f t="shared" si="0"/>
        <v>1000000</v>
      </c>
      <c r="G21" s="35" t="s">
        <v>0</v>
      </c>
      <c r="H21" s="26"/>
    </row>
    <row r="22" spans="1:8" s="150" customFormat="1" x14ac:dyDescent="0.25">
      <c r="A22" s="26"/>
      <c r="B22" s="29" t="s">
        <v>207</v>
      </c>
      <c r="C22" s="30">
        <v>2016</v>
      </c>
      <c r="D22" s="31">
        <v>75</v>
      </c>
      <c r="E22" s="32">
        <v>1500000</v>
      </c>
      <c r="F22" s="45">
        <f t="shared" si="0"/>
        <v>20000</v>
      </c>
      <c r="G22" s="35" t="s">
        <v>0</v>
      </c>
      <c r="H22" s="26"/>
    </row>
    <row r="23" spans="1:8" s="150" customFormat="1" x14ac:dyDescent="0.25">
      <c r="A23" s="26"/>
      <c r="B23" s="29" t="s">
        <v>206</v>
      </c>
      <c r="C23" s="30">
        <v>2016</v>
      </c>
      <c r="D23" s="31">
        <v>5</v>
      </c>
      <c r="E23" s="32">
        <v>5000000</v>
      </c>
      <c r="F23" s="45">
        <f t="shared" si="0"/>
        <v>1000000</v>
      </c>
      <c r="G23" s="35" t="s">
        <v>0</v>
      </c>
      <c r="H23" s="26"/>
    </row>
    <row r="24" spans="1:8" s="150" customFormat="1" x14ac:dyDescent="0.25">
      <c r="A24" s="26"/>
      <c r="B24" s="109" t="s">
        <v>73</v>
      </c>
      <c r="C24" s="167"/>
      <c r="D24" s="168"/>
      <c r="E24" s="169"/>
      <c r="F24" s="46">
        <f>SUMIF(C8:C23,"2015",F8:F23)</f>
        <v>7208000</v>
      </c>
      <c r="G24" s="47" t="s">
        <v>0</v>
      </c>
      <c r="H24" s="26"/>
    </row>
    <row r="25" spans="1:8" s="150" customFormat="1" x14ac:dyDescent="0.25">
      <c r="A25" s="26"/>
      <c r="B25" s="107" t="s">
        <v>135</v>
      </c>
      <c r="C25" s="170"/>
      <c r="D25" s="171"/>
      <c r="E25" s="172"/>
      <c r="F25" s="46">
        <f>SUMIF(C8:C23,"2016",F8:F23)</f>
        <v>7570000</v>
      </c>
      <c r="G25" s="47" t="s">
        <v>0</v>
      </c>
      <c r="H25" s="26"/>
    </row>
    <row r="26" spans="1:8" s="150" customFormat="1" x14ac:dyDescent="0.25">
      <c r="A26" s="26"/>
      <c r="B26" s="50" t="s">
        <v>36</v>
      </c>
      <c r="C26" s="173"/>
      <c r="D26" s="174"/>
      <c r="E26" s="174"/>
      <c r="F26" s="48">
        <f>F24+F25</f>
        <v>14778000</v>
      </c>
      <c r="G26" s="49" t="s">
        <v>0</v>
      </c>
      <c r="H26" s="26"/>
    </row>
    <row r="27" spans="1:8" s="150" customFormat="1" x14ac:dyDescent="0.25">
      <c r="A27" s="26"/>
      <c r="B27" s="26"/>
      <c r="C27" s="166"/>
      <c r="D27" s="26"/>
      <c r="E27" s="26"/>
      <c r="F27" s="26"/>
      <c r="G27" s="26"/>
      <c r="H27" s="26"/>
    </row>
    <row r="28" spans="1:8" s="150" customFormat="1" x14ac:dyDescent="0.25">
      <c r="A28" s="26"/>
      <c r="B28" s="26"/>
      <c r="C28" s="166"/>
      <c r="D28" s="26"/>
      <c r="E28" s="26"/>
      <c r="F28" s="26"/>
      <c r="G28" s="26"/>
      <c r="H28" s="26"/>
    </row>
    <row r="29" spans="1:8" s="150" customFormat="1" x14ac:dyDescent="0.25">
      <c r="A29" s="26"/>
      <c r="B29" s="26"/>
      <c r="C29" s="166"/>
      <c r="D29" s="26"/>
      <c r="E29" s="26"/>
      <c r="F29" s="175"/>
      <c r="G29" s="175"/>
      <c r="H29" s="2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t="12" hidden="1" customHeight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1" t="str">
        <f>'1. Forside'!A1</f>
        <v>Aarhus Vand AS</v>
      </c>
      <c r="B1" s="56"/>
      <c r="C1" s="56"/>
      <c r="D1" s="178"/>
      <c r="E1" s="56"/>
    </row>
    <row r="2" spans="1:5" x14ac:dyDescent="0.25">
      <c r="A2" s="221" t="str">
        <f>'1. Forside'!A2</f>
        <v>S110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6" t="s">
        <v>124</v>
      </c>
      <c r="C4" s="266"/>
      <c r="D4" s="266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145</v>
      </c>
      <c r="C6" s="180"/>
      <c r="D6" s="181"/>
      <c r="E6" s="56"/>
    </row>
    <row r="7" spans="1:5" x14ac:dyDescent="0.25">
      <c r="A7" s="56"/>
      <c r="B7" s="207" t="s">
        <v>13</v>
      </c>
      <c r="C7" s="51">
        <v>16500</v>
      </c>
      <c r="D7" s="182" t="s">
        <v>0</v>
      </c>
      <c r="E7" s="56"/>
    </row>
    <row r="8" spans="1:5" x14ac:dyDescent="0.25">
      <c r="A8" s="56"/>
      <c r="B8" s="207" t="s">
        <v>222</v>
      </c>
      <c r="C8" s="51">
        <v>6700000</v>
      </c>
      <c r="D8" s="182" t="s">
        <v>0</v>
      </c>
      <c r="E8" s="56"/>
    </row>
    <row r="9" spans="1:5" x14ac:dyDescent="0.25">
      <c r="A9" s="56"/>
      <c r="B9" s="207" t="s">
        <v>223</v>
      </c>
      <c r="C9" s="51">
        <v>2300000</v>
      </c>
      <c r="D9" s="182" t="s">
        <v>0</v>
      </c>
      <c r="E9" s="56"/>
    </row>
    <row r="10" spans="1:5" x14ac:dyDescent="0.25">
      <c r="A10" s="56"/>
      <c r="B10" s="207" t="s">
        <v>224</v>
      </c>
      <c r="C10" s="51">
        <v>6000000</v>
      </c>
      <c r="D10" s="182" t="s">
        <v>0</v>
      </c>
      <c r="E10" s="56"/>
    </row>
    <row r="11" spans="1:5" x14ac:dyDescent="0.25">
      <c r="A11" s="56"/>
      <c r="B11" s="207" t="s">
        <v>226</v>
      </c>
      <c r="C11" s="51">
        <v>1900000</v>
      </c>
      <c r="D11" s="182" t="s">
        <v>227</v>
      </c>
      <c r="E11" s="56"/>
    </row>
    <row r="12" spans="1:5" x14ac:dyDescent="0.25">
      <c r="A12" s="56"/>
      <c r="B12" s="207" t="s">
        <v>225</v>
      </c>
      <c r="C12" s="51">
        <v>8000000</v>
      </c>
      <c r="D12" s="182" t="s">
        <v>0</v>
      </c>
      <c r="E12" s="56"/>
    </row>
    <row r="13" spans="1:5" x14ac:dyDescent="0.25">
      <c r="A13" s="56"/>
      <c r="B13" s="54" t="s">
        <v>35</v>
      </c>
      <c r="C13" s="55">
        <f>SUM(C7:C12)</f>
        <v>24916500</v>
      </c>
      <c r="D13" s="54" t="s">
        <v>0</v>
      </c>
      <c r="E13" s="56"/>
    </row>
    <row r="14" spans="1:5" x14ac:dyDescent="0.25">
      <c r="A14" s="56"/>
      <c r="B14" s="56"/>
      <c r="C14" s="56"/>
      <c r="D14" s="178"/>
      <c r="E14" s="56"/>
    </row>
    <row r="15" spans="1:5" x14ac:dyDescent="0.25">
      <c r="A15" s="56"/>
      <c r="B15" s="56"/>
      <c r="C15" s="56"/>
      <c r="D15" s="178"/>
      <c r="E15" s="56"/>
    </row>
    <row r="16" spans="1:5" ht="38.25" customHeight="1" x14ac:dyDescent="0.25">
      <c r="A16" s="56"/>
      <c r="B16" s="267" t="s">
        <v>146</v>
      </c>
      <c r="C16" s="268"/>
      <c r="D16" s="269"/>
      <c r="E16" s="56"/>
    </row>
    <row r="17" spans="1:5" x14ac:dyDescent="0.25">
      <c r="A17" s="56"/>
      <c r="B17" s="53" t="s">
        <v>71</v>
      </c>
      <c r="C17" s="51">
        <v>220000</v>
      </c>
      <c r="D17" s="182" t="s">
        <v>0</v>
      </c>
      <c r="E17" s="56"/>
    </row>
    <row r="18" spans="1:5" x14ac:dyDescent="0.25">
      <c r="A18" s="56"/>
      <c r="B18" s="53" t="s">
        <v>14</v>
      </c>
      <c r="C18" s="51">
        <v>12500</v>
      </c>
      <c r="D18" s="182" t="s">
        <v>0</v>
      </c>
      <c r="E18" s="56"/>
    </row>
    <row r="19" spans="1:5" x14ac:dyDescent="0.25">
      <c r="A19" s="56"/>
      <c r="B19" s="54" t="s">
        <v>35</v>
      </c>
      <c r="C19" s="55">
        <f>SUM(C17:C18)</f>
        <v>232500</v>
      </c>
      <c r="D19" s="54" t="s">
        <v>0</v>
      </c>
      <c r="E19" s="56"/>
    </row>
    <row r="20" spans="1:5" x14ac:dyDescent="0.25">
      <c r="A20" s="56"/>
      <c r="B20" s="56"/>
      <c r="C20" s="183"/>
      <c r="D20" s="184"/>
      <c r="E20" s="56"/>
    </row>
    <row r="21" spans="1:5" x14ac:dyDescent="0.25">
      <c r="A21" s="56"/>
      <c r="B21" s="56"/>
      <c r="C21" s="183"/>
      <c r="D21" s="184"/>
      <c r="E21" s="56"/>
    </row>
    <row r="22" spans="1:5" ht="42" customHeight="1" x14ac:dyDescent="0.25">
      <c r="A22" s="56"/>
      <c r="B22" s="270" t="s">
        <v>147</v>
      </c>
      <c r="C22" s="271"/>
      <c r="D22" s="272"/>
      <c r="E22" s="56"/>
    </row>
    <row r="23" spans="1:5" x14ac:dyDescent="0.25">
      <c r="A23" s="56"/>
      <c r="B23" s="108" t="s">
        <v>148</v>
      </c>
      <c r="C23" s="19">
        <v>27354829</v>
      </c>
      <c r="D23" s="58" t="s">
        <v>0</v>
      </c>
      <c r="E23" s="56"/>
    </row>
    <row r="24" spans="1:5" x14ac:dyDescent="0.25">
      <c r="A24" s="56"/>
      <c r="B24" s="108" t="s">
        <v>149</v>
      </c>
      <c r="C24" s="40">
        <v>23121500</v>
      </c>
      <c r="D24" s="58" t="s">
        <v>0</v>
      </c>
      <c r="E24" s="56"/>
    </row>
    <row r="25" spans="1:5" x14ac:dyDescent="0.25">
      <c r="A25" s="56"/>
      <c r="B25" s="28" t="s">
        <v>150</v>
      </c>
      <c r="C25" s="55">
        <f>C23-C24</f>
        <v>4233329</v>
      </c>
      <c r="D25" s="28" t="s">
        <v>0</v>
      </c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x14ac:dyDescent="0.25">
      <c r="A28" s="56"/>
      <c r="B28" s="56"/>
      <c r="C28" s="56"/>
      <c r="D28" s="178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>
      <c r="A36" s="186"/>
      <c r="B36" s="186"/>
      <c r="C36" s="186"/>
      <c r="D36" s="187"/>
      <c r="E36" s="186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x14ac:dyDescent="0.25">
      <c r="A47" s="218"/>
      <c r="B47" s="218"/>
      <c r="C47" s="218"/>
      <c r="D47" s="219"/>
      <c r="E47" s="218"/>
    </row>
    <row r="48" spans="1:5" x14ac:dyDescent="0.25">
      <c r="A48" s="218"/>
      <c r="B48" s="218"/>
      <c r="C48" s="218"/>
      <c r="D48" s="219"/>
      <c r="E48" s="218"/>
    </row>
    <row r="49" spans="1:5" x14ac:dyDescent="0.25">
      <c r="A49" s="218"/>
      <c r="B49" s="218"/>
      <c r="C49" s="218"/>
      <c r="D49" s="219"/>
      <c r="E49" s="218"/>
    </row>
    <row r="50" spans="1:5" x14ac:dyDescent="0.25">
      <c r="A50" s="218"/>
      <c r="B50" s="218"/>
      <c r="C50" s="218"/>
      <c r="D50" s="219"/>
      <c r="E50" s="218"/>
    </row>
    <row r="51" spans="1:5" x14ac:dyDescent="0.25">
      <c r="A51" s="218"/>
      <c r="B51" s="218"/>
      <c r="C51" s="218"/>
      <c r="D51" s="219"/>
      <c r="E51" s="218"/>
    </row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2015-09-07T12:25:48Z</dcterms:modified>
</cp:coreProperties>
</file>