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Medfinansiering" sheetId="29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B6" i="12" l="1"/>
  <c r="G3" i="20"/>
  <c r="B7" i="12" s="1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B11" i="12" l="1"/>
  <c r="M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2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l="1"/>
  <c r="B8" i="12" s="1"/>
  <c r="B9" i="12" s="1"/>
  <c r="H3" i="17"/>
  <c r="B3" i="12" s="1"/>
  <c r="I2" i="15"/>
  <c r="K2" i="15" s="1"/>
  <c r="B2" i="12" s="1"/>
  <c r="B4" i="12" l="1"/>
  <c r="B14" i="12" l="1"/>
  <c r="B16" i="12" s="1"/>
</calcChain>
</file>

<file path=xl/sharedStrings.xml><?xml version="1.0" encoding="utf-8"?>
<sst xmlns="http://schemas.openxmlformats.org/spreadsheetml/2006/main" count="103" uniqueCount="72">
  <si>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</si>
  <si>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</si>
  <si>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</si>
  <si>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</si>
  <si>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</si>
  <si>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</si>
  <si>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</si>
  <si>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</si>
  <si>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</si>
  <si>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</si>
  <si>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</si>
  <si>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</si>
  <si>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</si>
  <si>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</si>
  <si>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</si>
  <si>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</si>
  <si>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</si>
  <si>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</si>
  <si>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</si>
  <si>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</si>
  <si>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</si>
  <si>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</si>
  <si>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</si>
  <si>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</si>
  <si>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</si>
  <si>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</si>
  <si>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</si>
  <si>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</si>
  <si>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</si>
  <si>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</si>
  <si>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</si>
  <si>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</si>
  <si>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</si>
  <si>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</si>
  <si>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</si>
  <si>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</si>
  <si>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</si>
  <si>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</si>
  <si>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</si>
  <si>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</si>
  <si>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</si>
  <si>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</si>
  <si>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</si>
  <si>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</si>
  <si>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</si>
  <si>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</si>
  <si>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Medfinansiering af klimaprojekter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</si>
  <si>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</si>
  <si>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</si>
  <si>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</si>
  <si>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</si>
  <si>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</si>
  <si>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</si>
  <si>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</si>
  <si>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Projektnavn</t>
  </si>
  <si>
    <t>Tillæg i 2015-priser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</si>
  <si>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</si>
  <si>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</si>
  <si>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</si>
  <si>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</si>
  <si>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</si>
  <si>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</si>
  <si>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</si>
  <si>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</si>
  <si>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</si>
  <si>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</si>
  <si>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</si>
  <si>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</si>
  <si>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</si>
  <si>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</si>
  <si>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</si>
  <si>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Hjørring Midtby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</si>
</sst>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4" fillId="0" borderId="0" xfId="0" applyFont="1" applyFill="1" applyAlignment="1">
      <alignment horizontal="left"/>
    </xf>
    <xf numFmtId="164" fontId="4" fillId="0" borderId="0" xfId="27368" applyNumberFormat="1" applyFont="1" applyFill="1" applyAlignment="1">
      <alignment horizontal="left"/>
    </xf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43694088.921357334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194097.79119999998</v>
      </c>
      <c r="C3" t="s">
        <v>10</v>
      </c>
    </row>
    <row r="4" spans="1:3" s="25" customFormat="1" x14ac:dyDescent="0.25">
      <c r="A4" s="3" t="s">
        <v>11</v>
      </c>
      <c r="B4" s="45">
        <f>SUM(B2:B3)</f>
        <v>43888186.712557331</v>
      </c>
      <c r="C4" s="54" t="s">
        <v>10</v>
      </c>
    </row>
    <row r="5" spans="1:3" x14ac:dyDescent="0.25">
      <c r="A5" s="44" t="s">
        <v>0</v>
      </c>
      <c r="B5" s="35">
        <f>Investeringer!E3</f>
        <v>84917850.162670404</v>
      </c>
      <c r="C5" s="22" t="s">
        <v>10</v>
      </c>
    </row>
    <row r="6" spans="1:3" x14ac:dyDescent="0.25">
      <c r="A6" s="4" t="s">
        <v>1</v>
      </c>
      <c r="B6" s="32">
        <f>Investeringer!F3</f>
        <v>9843642.550088821</v>
      </c>
      <c r="C6" t="s">
        <v>10</v>
      </c>
    </row>
    <row r="7" spans="1:3" x14ac:dyDescent="0.25">
      <c r="A7" s="4" t="s">
        <v>2</v>
      </c>
      <c r="B7" s="32">
        <f>Investeringer!G3</f>
        <v>1356666.6666666665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7909683.3993733339</v>
      </c>
      <c r="C8" t="s">
        <v>10</v>
      </c>
    </row>
    <row r="9" spans="1:3" s="21" customFormat="1" x14ac:dyDescent="0.25">
      <c r="A9" s="3" t="s">
        <v>44</v>
      </c>
      <c r="B9" s="45">
        <f>SUM(B5:B8)</f>
        <v>104027842.77879924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omkostninger'!M2</f>
        <v>7730831</v>
      </c>
      <c r="C10" t="s">
        <v>10</v>
      </c>
    </row>
    <row r="11" spans="1:3" s="21" customFormat="1" x14ac:dyDescent="0.25">
      <c r="A11" s="4" t="s">
        <v>46</v>
      </c>
      <c r="B11" s="32">
        <f>SUM(Medfinansiering!B:B)</f>
        <v>0</v>
      </c>
      <c r="C11" s="21" t="s">
        <v>10</v>
      </c>
    </row>
    <row r="12" spans="1:3" s="21" customFormat="1" x14ac:dyDescent="0.25">
      <c r="A12" s="3" t="s">
        <v>68</v>
      </c>
      <c r="B12" s="45">
        <f>SUM(B10:B11)</f>
        <v>7730831</v>
      </c>
      <c r="C12" s="54" t="s">
        <v>10</v>
      </c>
    </row>
    <row r="13" spans="1:3" x14ac:dyDescent="0.25">
      <c r="A13" s="1"/>
      <c r="B13" s="32"/>
    </row>
    <row r="14" spans="1:3" ht="15.75" thickBot="1" x14ac:dyDescent="0.3">
      <c r="A14" s="26" t="s">
        <v>57</v>
      </c>
      <c r="B14" s="34">
        <f>SUM(B4,B9,B12)</f>
        <v>155646860.49135655</v>
      </c>
      <c r="C14" s="26" t="s">
        <v>3</v>
      </c>
    </row>
    <row r="15" spans="1:3" ht="15.75" thickTop="1" x14ac:dyDescent="0.25"/>
    <row r="16" spans="1:3" ht="15.75" thickBot="1" x14ac:dyDescent="0.3">
      <c r="A16" s="26" t="s">
        <v>49</v>
      </c>
      <c r="B16" s="34">
        <f>B14*Pristalsregulering!C8*Pristalsregulering!C9</f>
        <v>157024606.0322423</v>
      </c>
      <c r="C16" s="26" t="s">
        <v>3</v>
      </c>
    </row>
    <row r="17" spans="2:2" ht="15.75" hidden="1" thickTop="1" x14ac:dyDescent="0.25">
      <c r="B17" s="53"/>
    </row>
    <row r="18" spans="2:2" hidden="1" x14ac:dyDescent="0.25"/>
    <row r="19" spans="2:2" hidden="1" x14ac:dyDescent="0.25"/>
    <row r="20" spans="2:2" hidden="1" x14ac:dyDescent="0.25"/>
    <row r="21" spans="2:2" hidden="1" x14ac:dyDescent="0.25"/>
    <row r="22" spans="2:2" hidden="1" x14ac:dyDescent="0.25"/>
    <row r="23" spans="2:2" hidden="1" x14ac:dyDescent="0.25"/>
    <row r="24" spans="2:2" hidden="1" x14ac:dyDescent="0.25"/>
    <row r="25" spans="2:2" hidden="1" x14ac:dyDescent="0.25"/>
    <row r="26" spans="2:2" hidden="1" x14ac:dyDescent="0.25"/>
    <row r="27" spans="2:2" hidden="1" x14ac:dyDescent="0.25"/>
    <row r="28" spans="2:2" hidden="1" x14ac:dyDescent="0.25"/>
    <row r="29" spans="2:2" hidden="1" x14ac:dyDescent="0.25"/>
    <row r="30" spans="2:2" hidden="1" x14ac:dyDescent="0.25"/>
    <row r="31" spans="2:2" hidden="1" x14ac:dyDescent="0.25"/>
    <row r="32" spans="2: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58</v>
      </c>
      <c r="D1" s="51" t="s">
        <v>59</v>
      </c>
      <c r="E1" s="51" t="s">
        <v>50</v>
      </c>
      <c r="F1" s="49" t="s">
        <v>60</v>
      </c>
      <c r="G1" s="49" t="s">
        <v>69</v>
      </c>
      <c r="H1" s="49" t="s">
        <v>61</v>
      </c>
      <c r="I1" s="49" t="s">
        <v>45</v>
      </c>
      <c r="J1" s="11" t="s">
        <v>62</v>
      </c>
      <c r="K1" s="11" t="s">
        <v>63</v>
      </c>
    </row>
    <row r="2" spans="1:11" s="22" customFormat="1" ht="15.75" thickTop="1" x14ac:dyDescent="0.25">
      <c r="A2" s="27">
        <v>2015</v>
      </c>
      <c r="B2" s="46">
        <v>42947848</v>
      </c>
      <c r="C2" s="46">
        <v>0</v>
      </c>
      <c r="D2" s="46">
        <f>B2+C2</f>
        <v>42947848</v>
      </c>
      <c r="E2" s="47">
        <f>D2</f>
        <v>42947848</v>
      </c>
      <c r="F2" s="46">
        <v>44413264.393852592</v>
      </c>
      <c r="G2" s="46">
        <v>0</v>
      </c>
      <c r="H2" s="46">
        <f>F2-G2</f>
        <v>44413264.393852592</v>
      </c>
      <c r="I2" s="46">
        <f>AVERAGEIF(E2:E4,"&lt;&gt;0")</f>
        <v>43694088.921357334</v>
      </c>
      <c r="J2" s="46">
        <v>38118190.179425783</v>
      </c>
      <c r="K2" s="36">
        <f>IF(H2&gt;I2,IF(I2&gt;J2,I2,J2),H2)</f>
        <v>43694088.921357334</v>
      </c>
    </row>
    <row r="3" spans="1:11" s="22" customFormat="1" x14ac:dyDescent="0.25">
      <c r="A3" s="27">
        <v>2014</v>
      </c>
      <c r="B3" s="46">
        <v>45852243</v>
      </c>
      <c r="C3" s="46"/>
      <c r="D3" s="46">
        <f t="shared" ref="D3:D4" si="0">B3+C3</f>
        <v>45852243</v>
      </c>
      <c r="E3" s="47">
        <f>D3*Pristalsregulering!C7</f>
        <v>45888924.794399999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41587906</v>
      </c>
      <c r="C4" s="46"/>
      <c r="D4" s="46">
        <f t="shared" si="0"/>
        <v>41587906</v>
      </c>
      <c r="E4" s="47">
        <f>D4*Pristalsregulering!$C$6*Pristalsregulering!$C$7</f>
        <v>42245493.969671994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5" t="s">
        <v>21</v>
      </c>
      <c r="C1" s="66"/>
      <c r="D1" s="66"/>
      <c r="E1" s="67" t="s">
        <v>51</v>
      </c>
      <c r="F1" s="68"/>
      <c r="G1" s="69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17000</v>
      </c>
      <c r="C3" s="39">
        <v>207040</v>
      </c>
      <c r="D3" s="39">
        <v>0</v>
      </c>
      <c r="E3" s="38">
        <f>B3</f>
        <v>17000</v>
      </c>
      <c r="F3" s="39">
        <f t="shared" ref="F3:G3" si="0">C3</f>
        <v>207040</v>
      </c>
      <c r="G3" s="40">
        <f t="shared" si="0"/>
        <v>0</v>
      </c>
      <c r="H3" s="41">
        <f>IF(E3=0,0,AVERAGEIF(E3:E5,"&lt;&gt;0"))+IF(F3=0,0,AVERAGEIF(F3:F5,"&lt;&gt;0"))+IF(G3=0,0,AVERAGEIF(G3:G5,"&lt;&gt;0"))</f>
        <v>194097.79119999998</v>
      </c>
    </row>
    <row r="4" spans="1:8" x14ac:dyDescent="0.25">
      <c r="A4" s="30">
        <v>2014</v>
      </c>
      <c r="B4" s="38">
        <v>20700</v>
      </c>
      <c r="C4" s="39">
        <v>156800</v>
      </c>
      <c r="D4" s="39">
        <v>0</v>
      </c>
      <c r="E4" s="38">
        <f>B4*Pristalsregulering!$C$7</f>
        <v>20716.559999999998</v>
      </c>
      <c r="F4" s="39">
        <f>C4*Pristalsregulering!$C$7</f>
        <v>156925.43999999997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27400</v>
      </c>
      <c r="C5" s="39">
        <v>150400</v>
      </c>
      <c r="D5" s="39">
        <v>0</v>
      </c>
      <c r="E5" s="38">
        <f>B5*Pristalsregulering!$C$7*Pristalsregulering!$C$6</f>
        <v>27833.248799999994</v>
      </c>
      <c r="F5" s="39">
        <f>C5*Pristalsregulering!$C$7*Pristalsregulering!$C$6</f>
        <v>152778.12479999996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1" customFormat="1" ht="15.75" thickBot="1" x14ac:dyDescent="0.3">
      <c r="A1" s="64"/>
      <c r="B1" s="68" t="s">
        <v>66</v>
      </c>
      <c r="C1" s="68"/>
      <c r="D1" s="69"/>
      <c r="E1" s="70" t="s">
        <v>67</v>
      </c>
      <c r="F1" s="70"/>
      <c r="G1" s="70"/>
    </row>
    <row r="2" spans="1:7" s="21" customFormat="1" ht="15.75" thickTop="1" x14ac:dyDescent="0.25">
      <c r="A2" s="62" t="s">
        <v>12</v>
      </c>
      <c r="B2" s="22" t="s">
        <v>64</v>
      </c>
      <c r="C2" s="22" t="s">
        <v>1</v>
      </c>
      <c r="D2" s="27" t="s">
        <v>65</v>
      </c>
      <c r="E2" s="21" t="s">
        <v>0</v>
      </c>
      <c r="F2" s="21" t="s">
        <v>1</v>
      </c>
      <c r="G2" s="21" t="s">
        <v>2</v>
      </c>
    </row>
    <row r="3" spans="1:7" s="21" customFormat="1" x14ac:dyDescent="0.25">
      <c r="A3" s="63">
        <v>2015</v>
      </c>
      <c r="B3" s="35">
        <v>77999385.401374191</v>
      </c>
      <c r="C3" s="35">
        <v>9518618.6233333349</v>
      </c>
      <c r="D3" s="37">
        <v>1356666.6666666665</v>
      </c>
      <c r="E3" s="32">
        <f>B3*Pristalsregulering!C2*Pristalsregulering!C3*Pristalsregulering!C4*Pristalsregulering!C5*Pristalsregulering!C6*Pristalsregulering!C7</f>
        <v>84917850.162670404</v>
      </c>
      <c r="F3" s="32">
        <v>9843642.550088821</v>
      </c>
      <c r="G3" s="32">
        <f>D3</f>
        <v>1356666.6666666665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61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5" t="s">
        <v>37</v>
      </c>
      <c r="C1" s="66"/>
      <c r="D1" s="66"/>
      <c r="E1" s="66"/>
      <c r="F1" s="67" t="s">
        <v>52</v>
      </c>
      <c r="G1" s="68"/>
      <c r="H1" s="68"/>
      <c r="I1" s="68"/>
      <c r="J1" s="71" t="s">
        <v>26</v>
      </c>
      <c r="K1" s="70"/>
      <c r="L1" s="72"/>
      <c r="M1" s="13"/>
    </row>
    <row r="2" spans="1:14" s="25" customFormat="1" ht="15.75" thickTop="1" x14ac:dyDescent="0.25">
      <c r="A2" s="18" t="s">
        <v>12</v>
      </c>
      <c r="B2" s="8" t="s">
        <v>38</v>
      </c>
      <c r="C2" s="7" t="s">
        <v>39</v>
      </c>
      <c r="D2" s="7" t="s">
        <v>40</v>
      </c>
      <c r="E2" s="48" t="s">
        <v>41</v>
      </c>
      <c r="F2" s="7" t="s">
        <v>38</v>
      </c>
      <c r="G2" s="7" t="s">
        <v>39</v>
      </c>
      <c r="H2" s="7" t="s">
        <v>40</v>
      </c>
      <c r="I2" s="48" t="s">
        <v>41</v>
      </c>
      <c r="J2" s="19" t="s">
        <v>42</v>
      </c>
      <c r="K2" s="19" t="s">
        <v>39</v>
      </c>
      <c r="L2" s="15" t="s">
        <v>70</v>
      </c>
      <c r="M2" s="6" t="s">
        <v>25</v>
      </c>
      <c r="N2" s="31"/>
    </row>
    <row r="3" spans="1:14" x14ac:dyDescent="0.25">
      <c r="A3" s="27">
        <v>2015</v>
      </c>
      <c r="B3" s="42">
        <v>7363879</v>
      </c>
      <c r="C3" s="35">
        <v>5346200</v>
      </c>
      <c r="D3" s="35">
        <v>0</v>
      </c>
      <c r="E3" s="37">
        <v>0</v>
      </c>
      <c r="F3" s="35">
        <f>B3</f>
        <v>7363879</v>
      </c>
      <c r="G3" s="35">
        <f>C3</f>
        <v>5346200</v>
      </c>
      <c r="H3" s="35">
        <f>D3</f>
        <v>0</v>
      </c>
      <c r="I3" s="37">
        <f>E3</f>
        <v>0</v>
      </c>
      <c r="J3" s="39">
        <f>AVERAGE(F3:F5)</f>
        <v>2563483.3993733334</v>
      </c>
      <c r="K3" s="39">
        <f>G3</f>
        <v>5346200</v>
      </c>
      <c r="L3" s="40">
        <f>AVERAGE(H3:H5)+AVERAGE(I3:I5)</f>
        <v>0</v>
      </c>
      <c r="M3" s="41">
        <f>SUM(J3:L3)</f>
        <v>7909683.3993733339</v>
      </c>
      <c r="N3" s="22"/>
    </row>
    <row r="4" spans="1:14" x14ac:dyDescent="0.25">
      <c r="A4" s="27">
        <v>2014</v>
      </c>
      <c r="B4" s="42">
        <v>256671</v>
      </c>
      <c r="C4" s="35">
        <v>6168156</v>
      </c>
      <c r="D4" s="35">
        <v>0</v>
      </c>
      <c r="E4" s="37">
        <v>0</v>
      </c>
      <c r="F4" s="35">
        <f>IF(B4="","",B4*Pristalsregulering!$C$7)</f>
        <v>256876.33679999999</v>
      </c>
      <c r="G4" s="35">
        <f>IF(C4="","",C4*Pristalsregulering!$C$7)</f>
        <v>6173090.5247999998</v>
      </c>
      <c r="H4" s="35">
        <f>IF(D4="","",D4*Pristalsregulering!$C$7)</f>
        <v>0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68610</v>
      </c>
      <c r="C5" s="35">
        <v>6347255</v>
      </c>
      <c r="D5" s="35">
        <v>0</v>
      </c>
      <c r="E5" s="37">
        <v>0</v>
      </c>
      <c r="F5" s="35">
        <f>IF(B5="","",B5*Pristalsregulering!$C$7*Pristalsregulering!$C$6)</f>
        <v>69694.861319999982</v>
      </c>
      <c r="G5" s="35">
        <f>IF(C5="","",C5*Pristalsregulering!$C$7*Pristalsregulering!$C$6)</f>
        <v>6447617.7960599987</v>
      </c>
      <c r="H5" s="35">
        <f>IF(D5="","",D5*Pristalsregulering!$C$7*Pristalsregulering!$C$6)</f>
        <v>0</v>
      </c>
      <c r="I5" s="37">
        <f>IF(E5="","",E5*Pristalsregulering!$C$7*Pristalsregulering!$C$6)</f>
        <v>0</v>
      </c>
      <c r="J5" s="32"/>
      <c r="L5" s="37"/>
      <c r="M5" s="32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44.5703125" style="24" bestFit="1" customWidth="1"/>
    <col min="11" max="11" width="44.5703125" style="24" customWidth="1"/>
    <col min="12" max="12" width="16.85546875" style="30" bestFit="1" customWidth="1"/>
    <col min="13" max="13" width="15.7109375" style="24" customWidth="1"/>
    <col min="14" max="17" width="0" style="24" hidden="1" customWidth="1"/>
    <col min="18" max="16384" width="9.140625" style="24" hidden="1"/>
  </cols>
  <sheetData>
    <row r="1" spans="1:13" s="20" customFormat="1" ht="15.75" thickBot="1" x14ac:dyDescent="0.3">
      <c r="A1" s="12" t="s">
        <v>12</v>
      </c>
      <c r="B1" s="59" t="s">
        <v>27</v>
      </c>
      <c r="C1" s="59" t="s">
        <v>28</v>
      </c>
      <c r="D1" s="59" t="s">
        <v>29</v>
      </c>
      <c r="E1" s="59" t="s">
        <v>30</v>
      </c>
      <c r="F1" s="59" t="s">
        <v>31</v>
      </c>
      <c r="G1" s="59" t="s">
        <v>32</v>
      </c>
      <c r="H1" s="59" t="s">
        <v>33</v>
      </c>
      <c r="I1" s="59" t="s">
        <v>34</v>
      </c>
      <c r="J1" s="59" t="s">
        <v>35</v>
      </c>
      <c r="K1" s="59" t="s">
        <v>53</v>
      </c>
      <c r="L1" s="60" t="s">
        <v>36</v>
      </c>
      <c r="M1" s="14" t="s">
        <v>25</v>
      </c>
    </row>
    <row r="2" spans="1:13" ht="15.75" thickTop="1" x14ac:dyDescent="0.25">
      <c r="A2" s="30">
        <v>2015</v>
      </c>
      <c r="B2" s="39">
        <v>16261</v>
      </c>
      <c r="C2" s="39">
        <v>0</v>
      </c>
      <c r="D2" s="39">
        <v>457139</v>
      </c>
      <c r="E2" s="39">
        <v>0</v>
      </c>
      <c r="F2" s="39">
        <v>5462176</v>
      </c>
      <c r="G2" s="39">
        <v>0</v>
      </c>
      <c r="H2" s="39">
        <v>1795255</v>
      </c>
      <c r="I2" s="39">
        <v>0</v>
      </c>
      <c r="J2" s="39"/>
      <c r="K2" s="39"/>
      <c r="L2" s="40">
        <v>0</v>
      </c>
      <c r="M2" s="41">
        <f>SUM(B2:L2)</f>
        <v>7730831</v>
      </c>
    </row>
    <row r="3" spans="1:13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43</v>
      </c>
    </row>
    <row r="4" spans="1:13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43</v>
      </c>
    </row>
    <row r="5" spans="1:13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B28"/>
  <sheetViews>
    <sheetView workbookViewId="0"/>
  </sheetViews>
  <sheetFormatPr defaultColWidth="0" defaultRowHeight="15" zeroHeight="1" x14ac:dyDescent="0.25"/>
  <cols>
    <col min="1" max="1" width="38.85546875" customWidth="1"/>
    <col min="2" max="2" width="18" style="32" bestFit="1" customWidth="1"/>
    <col min="3" max="16384" width="9.140625" hidden="1"/>
  </cols>
  <sheetData>
    <row r="1" spans="1:2" x14ac:dyDescent="0.25">
      <c r="A1" s="55" t="s">
        <v>54</v>
      </c>
      <c r="B1" s="56" t="s">
        <v>55</v>
      </c>
    </row>
    <row r="2" spans="1:2" x14ac:dyDescent="0.25">
      <c r="A2" s="22" t="s">
        <v>71</v>
      </c>
      <c r="B2" s="32">
        <v>0</v>
      </c>
    </row>
    <row r="3" spans="1:2" hidden="1" x14ac:dyDescent="0.25"/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</sheetData>
  <sheetProtection password="C6BD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7" t="s">
        <v>56</v>
      </c>
      <c r="B2" s="58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47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48</v>
      </c>
      <c r="B9" s="24">
        <v>1.2699999999999999E-2</v>
      </c>
      <c r="C9" s="22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Medfinansiering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2016-11-11T16:24:10Z</dcterms:modified>
</cp:coreProperties>
</file>