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Medfinansiering" sheetId="29" r:id="rId9"/>
    <sheet name="Pristalsregulering" sheetId="27" r:id="rId10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3" i="12" l="1"/>
  <c r="M2" i="18" l="1"/>
  <c r="B5" i="12" l="1"/>
  <c r="C8" i="27" l="1"/>
  <c r="C9" i="27"/>
  <c r="E2" i="15" l="1"/>
  <c r="I4" i="16" l="1"/>
  <c r="J4" i="16"/>
  <c r="K4" i="16"/>
  <c r="G3" i="16"/>
  <c r="H3" i="16"/>
  <c r="I3" i="16"/>
  <c r="J3" i="16"/>
  <c r="K3" i="16"/>
  <c r="P3" i="16" l="1"/>
  <c r="O3" i="16"/>
  <c r="F3" i="17"/>
  <c r="G3" i="17"/>
  <c r="G4" i="16" l="1"/>
  <c r="H4" i="16"/>
  <c r="G3" i="24"/>
  <c r="K3" i="24" s="1"/>
  <c r="H3" i="24"/>
  <c r="I3" i="24"/>
  <c r="F3" i="24"/>
  <c r="B12" i="12"/>
  <c r="B14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5" i="16"/>
  <c r="I6" i="16"/>
  <c r="J6" i="16"/>
  <c r="K6" i="16"/>
  <c r="I5" i="16"/>
  <c r="N3" i="16" s="1"/>
  <c r="J5" i="16"/>
  <c r="G5" i="17"/>
  <c r="F4" i="17"/>
  <c r="E5" i="17"/>
  <c r="G4" i="17"/>
  <c r="E4" i="17"/>
  <c r="F5" i="17"/>
  <c r="G6" i="16"/>
  <c r="J3" i="24"/>
  <c r="H5" i="16"/>
  <c r="M3" i="16" s="1"/>
  <c r="H6" i="16"/>
  <c r="G5" i="16"/>
  <c r="M3" i="24" l="1"/>
  <c r="B10" i="12" s="1"/>
  <c r="B11" i="12" s="1"/>
  <c r="L3" i="16"/>
  <c r="H3" i="17"/>
  <c r="B4" i="12" s="1"/>
  <c r="I2" i="15"/>
  <c r="K2" i="15" s="1"/>
  <c r="B2" i="12" s="1"/>
  <c r="Q3" i="16" l="1"/>
  <c r="B3" i="12" s="1"/>
  <c r="B6" i="12" s="1"/>
  <c r="B16" i="12" l="1"/>
  <c r="B18" i="12" s="1"/>
</calcChain>
</file>

<file path=xl/sharedStrings.xml><?xml version="1.0" encoding="utf-8"?>
<sst xmlns="http://schemas.openxmlformats.org/spreadsheetml/2006/main" count="129" uniqueCount="84">
  <si>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</si>
  <si>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</si>
  <si>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</si>
  <si>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</si>
  <si>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</si>
  <si>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</si>
  <si>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</si>
  <si>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</si>
  <si>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</si>
  <si>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</si>
  <si>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</si>
  <si>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</si>
  <si>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</si>
  <si>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</si>
  <si>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</si>
  <si>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</si>
  <si>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</si>
  <si>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</si>
  <si>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</si>
  <si>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</si>
  <si>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</si>
  <si>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</si>
  <si>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</si>
  <si>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 xml:space="preserve">Dokumenteret spildevandssikkerhed (DSS) 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</si>
  <si>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</si>
  <si>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</si>
  <si>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</si>
  <si>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</si>
  <si>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</si>
  <si>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</si>
  <si>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</si>
  <si>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</si>
  <si>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</si>
  <si>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</si>
  <si>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</si>
  <si>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</si>
  <si>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</si>
  <si>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</si>
  <si>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</si>
  <si>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</si>
  <si>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</si>
  <si>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</si>
  <si>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</si>
  <si>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</si>
  <si>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</si>
  <si>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</si>
  <si>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</si>
  <si>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</si>
  <si>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</si>
  <si>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</si>
  <si>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</si>
  <si>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St vejleå (klimasikring</t>
  </si>
  <si>
    <t>Vallensbæk mose (Øget rensning)</t>
  </si>
  <si>
    <t>Medfinansiering af klimaprojekter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</si>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</sst>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6409728.3575666659</v>
      </c>
      <c r="C2" t="s">
        <v>11</v>
      </c>
    </row>
    <row r="3" spans="1:3" s="2" customFormat="1" x14ac:dyDescent="0.25">
      <c r="A3" s="6" t="s">
        <v>8</v>
      </c>
      <c r="B3" s="39">
        <f>'Miljø- og servicemål'!Q3</f>
        <v>537538.39360000007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38437.822435999995</v>
      </c>
      <c r="C4" t="s">
        <v>11</v>
      </c>
    </row>
    <row r="5" spans="1:3" s="29" customFormat="1" x14ac:dyDescent="0.25">
      <c r="A5" s="5" t="s">
        <v>56</v>
      </c>
      <c r="B5" s="38">
        <f>'Periodevise driftsomkostninger'!B2</f>
        <v>1186973.7154618909</v>
      </c>
      <c r="C5" s="3" t="s">
        <v>11</v>
      </c>
    </row>
    <row r="6" spans="1:3" s="29" customFormat="1" x14ac:dyDescent="0.25">
      <c r="A6" s="4" t="s">
        <v>12</v>
      </c>
      <c r="B6" s="51">
        <f>SUM(B2:B5)</f>
        <v>8172678.2890645573</v>
      </c>
      <c r="C6" s="65" t="s">
        <v>11</v>
      </c>
    </row>
    <row r="7" spans="1:3" x14ac:dyDescent="0.25">
      <c r="A7" s="50" t="s">
        <v>0</v>
      </c>
      <c r="B7" s="41">
        <f>Investeringer!E3</f>
        <v>24700983.228874519</v>
      </c>
      <c r="C7" s="26" t="s">
        <v>11</v>
      </c>
    </row>
    <row r="8" spans="1:3" x14ac:dyDescent="0.25">
      <c r="A8" s="5" t="s">
        <v>1</v>
      </c>
      <c r="B8" s="38">
        <f>Investeringer!F3</f>
        <v>1456018.7644656356</v>
      </c>
      <c r="C8" t="s">
        <v>11</v>
      </c>
    </row>
    <row r="9" spans="1:3" x14ac:dyDescent="0.25">
      <c r="A9" s="5" t="s">
        <v>2</v>
      </c>
      <c r="B9" s="38">
        <f>Investeringer!G3</f>
        <v>361758.76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1233292.8674666667</v>
      </c>
      <c r="C10" t="s">
        <v>11</v>
      </c>
    </row>
    <row r="11" spans="1:3" s="25" customFormat="1" x14ac:dyDescent="0.25">
      <c r="A11" s="4" t="s">
        <v>49</v>
      </c>
      <c r="B11" s="51">
        <f>SUM(B7:B10)</f>
        <v>27752053.620806824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9007419</v>
      </c>
      <c r="C12" t="s">
        <v>11</v>
      </c>
    </row>
    <row r="13" spans="1:3" s="25" customFormat="1" x14ac:dyDescent="0.25">
      <c r="A13" s="5" t="s">
        <v>53</v>
      </c>
      <c r="B13" s="38">
        <f>SUM(Medfinansiering!B:B)</f>
        <v>258447</v>
      </c>
      <c r="C13" s="25" t="s">
        <v>11</v>
      </c>
    </row>
    <row r="14" spans="1:3" s="25" customFormat="1" x14ac:dyDescent="0.25">
      <c r="A14" s="4" t="s">
        <v>77</v>
      </c>
      <c r="B14" s="51">
        <f>SUM(B12:B13)</f>
        <v>9265866</v>
      </c>
      <c r="C14" s="65" t="s">
        <v>11</v>
      </c>
    </row>
    <row r="15" spans="1:3" x14ac:dyDescent="0.25">
      <c r="A15" s="1"/>
      <c r="B15" s="38"/>
    </row>
    <row r="16" spans="1:3" ht="15.75" thickBot="1" x14ac:dyDescent="0.3">
      <c r="A16" s="30" t="s">
        <v>66</v>
      </c>
      <c r="B16" s="40">
        <f>SUM(B6,B11,B14)</f>
        <v>45190597.909871385</v>
      </c>
      <c r="C16" s="30" t="s">
        <v>3</v>
      </c>
    </row>
    <row r="17" spans="1:3" ht="15.75" thickTop="1" x14ac:dyDescent="0.25"/>
    <row r="18" spans="1:3" ht="15.75" thickBot="1" x14ac:dyDescent="0.3">
      <c r="A18" s="30" t="s">
        <v>58</v>
      </c>
      <c r="B18" s="40">
        <f>B16*Pristalsregulering!C8*Pristalsregulering!C9</f>
        <v>45590613.333014108</v>
      </c>
      <c r="C18" s="30" t="s">
        <v>3</v>
      </c>
    </row>
    <row r="19" spans="1:3" ht="15.75" hidden="1" thickTop="1" x14ac:dyDescent="0.25">
      <c r="B19" s="64"/>
    </row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9" t="s">
        <v>65</v>
      </c>
      <c r="B2" s="70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54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55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67</v>
      </c>
      <c r="D1" s="62" t="s">
        <v>68</v>
      </c>
      <c r="E1" s="62" t="s">
        <v>59</v>
      </c>
      <c r="F1" s="55" t="s">
        <v>69</v>
      </c>
      <c r="G1" s="55" t="s">
        <v>78</v>
      </c>
      <c r="H1" s="55" t="s">
        <v>70</v>
      </c>
      <c r="I1" s="55" t="s">
        <v>50</v>
      </c>
      <c r="J1" s="14" t="s">
        <v>71</v>
      </c>
      <c r="K1" s="14" t="s">
        <v>72</v>
      </c>
    </row>
    <row r="2" spans="1:11" s="26" customFormat="1" ht="15.75" thickTop="1" x14ac:dyDescent="0.25">
      <c r="A2" s="31">
        <v>2015</v>
      </c>
      <c r="B2" s="52">
        <v>4476833</v>
      </c>
      <c r="C2" s="52">
        <v>0</v>
      </c>
      <c r="D2" s="52">
        <f>B2+C2</f>
        <v>4476833</v>
      </c>
      <c r="E2" s="53">
        <f>D2</f>
        <v>4476833</v>
      </c>
      <c r="F2" s="52">
        <v>10544374.438642256</v>
      </c>
      <c r="G2" s="52">
        <v>1505548.0172393455</v>
      </c>
      <c r="H2" s="52">
        <f>F2-G2</f>
        <v>9038826.4214029107</v>
      </c>
      <c r="I2" s="52">
        <f>AVERAGEIF(E2:E4,"&lt;&gt;0")</f>
        <v>6409728.3575666659</v>
      </c>
      <c r="J2" s="52">
        <v>3954976.2584562702</v>
      </c>
      <c r="K2" s="42">
        <f>IF(H2&gt;I2,IF(I2&gt;J2,I2,J2),H2)</f>
        <v>6409728.3575666659</v>
      </c>
    </row>
    <row r="3" spans="1:11" s="26" customFormat="1" x14ac:dyDescent="0.25">
      <c r="A3" s="31">
        <v>2014</v>
      </c>
      <c r="B3" s="52">
        <v>6495537</v>
      </c>
      <c r="C3" s="52"/>
      <c r="D3" s="52">
        <f t="shared" ref="D3:D4" si="0">B3+C3</f>
        <v>6495537</v>
      </c>
      <c r="E3" s="53">
        <f>D3*Pristalsregulering!C7</f>
        <v>6500733.4295999995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8123175</v>
      </c>
      <c r="C4" s="52"/>
      <c r="D4" s="52">
        <f t="shared" si="0"/>
        <v>8123175</v>
      </c>
      <c r="E4" s="53">
        <f>D4*Pristalsregulering!$C$6*Pristalsregulering!$C$7</f>
        <v>8251618.6430999981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6" width="30.7109375" style="25" customWidth="1"/>
    <col min="7" max="7" width="30.7109375" style="58" customWidth="1"/>
    <col min="8" max="8" width="30.7109375" customWidth="1"/>
    <col min="9" max="11" width="30.7109375" style="25" customWidth="1"/>
    <col min="12" max="12" width="30.7109375" style="58" customWidth="1"/>
    <col min="13" max="14" width="30.7109375" customWidth="1"/>
    <col min="15" max="16" width="30.7109375" style="25" customWidth="1"/>
    <col min="17" max="17" width="30.7109375" style="58" customWidth="1"/>
    <col min="18" max="18" width="9.140625" hidden="1" customWidth="1"/>
    <col min="27" max="27" width="9.140625" hidden="1"/>
    <col min="33" max="33" width="9.140625" hidden="1"/>
    <col min="42" max="42" width="9.140625" hidden="1"/>
    <col min="51" max="51" width="9.140625" hidden="1"/>
    <col min="60" max="60" width="9.140625" hidden="1"/>
    <col min="66" max="66" width="9.140625" hidden="1"/>
    <col min="75" max="75" width="9.140625" hidden="1"/>
    <col min="80" max="80" width="9.140625" hidden="1"/>
    <col min="89" max="89" width="9.140625" hidden="1"/>
    <col min="98" max="98" width="9.140625" hidden="1"/>
    <col min="104" max="104" width="9.140625" hidden="1"/>
    <col min="113" max="113" width="9.140625" hidden="1"/>
    <col min="120" max="120" width="9.140625" hidden="1"/>
    <col min="126" max="126" width="9.140625" hidden="1"/>
    <col min="135" max="135" width="9.140625" hidden="1"/>
    <col min="141" max="141" width="9.140625" hidden="1"/>
    <col min="150" max="150" width="9.140625" hidden="1"/>
    <col min="153" max="153" width="9.140625" hidden="1"/>
    <col min="159" max="159" width="9.140625" hidden="1"/>
    <col min="168" max="168" width="9.140625" hidden="1"/>
    <col min="174" max="174" width="9.140625" hidden="1"/>
    <col min="183" max="183" width="9.140625" hidden="1"/>
    <col min="188" max="188" width="9.140625" hidden="1"/>
    <col min="191" max="191" width="9.140625" hidden="1"/>
    <col min="197" max="197" width="9.140625" hidden="1"/>
    <col min="206" max="206" width="9.140625" hidden="1"/>
    <col min="212" max="212" width="9.140625" hidden="1"/>
    <col min="221" max="221" width="9.140625" hidden="1"/>
    <col min="228" max="228" width="9.140625" hidden="1"/>
    <col min="234" max="234" width="9.140625" hidden="1"/>
    <col min="243" max="243" width="9.140625" hidden="1"/>
    <col min="249" max="249" width="9.140625" hidden="1"/>
    <col min="258" max="258" width="9.140625" hidden="1"/>
    <col min="261" max="261" width="9.140625" hidden="1"/>
    <col min="267" max="267" width="9.140625" hidden="1"/>
    <col min="276" max="276" width="9.140625" hidden="1"/>
    <col min="282" max="282" width="9.140625" hidden="1"/>
    <col min="291" max="291" width="9.140625" hidden="1"/>
    <col min="296" max="296" width="9.140625" hidden="1"/>
    <col min="299" max="299" width="9.140625" hidden="1"/>
    <col min="305" max="305" width="9.140625" hidden="1"/>
    <col min="314" max="314" width="9.140625" hidden="1"/>
    <col min="320" max="320" width="9.140625" hidden="1"/>
    <col min="329" max="329" width="9.140625" hidden="1"/>
    <col min="333" max="333" width="9.140625" hidden="1"/>
    <col min="342" max="16384" width="9.140625" hidden="1"/>
  </cols>
  <sheetData>
    <row r="1" spans="1:17" s="30" customFormat="1" ht="15.75" thickBot="1" x14ac:dyDescent="0.3">
      <c r="A1" s="10"/>
      <c r="B1" s="36" t="s">
        <v>81</v>
      </c>
      <c r="C1" s="36"/>
      <c r="D1" s="36"/>
      <c r="E1" s="36"/>
      <c r="F1" s="36"/>
      <c r="G1" s="68" t="s">
        <v>82</v>
      </c>
      <c r="H1" s="13"/>
      <c r="I1" s="13"/>
      <c r="J1" s="13"/>
      <c r="K1" s="13"/>
      <c r="L1" s="68" t="s">
        <v>83</v>
      </c>
      <c r="M1" s="13"/>
      <c r="N1" s="13"/>
      <c r="O1" s="13"/>
      <c r="P1" s="13"/>
      <c r="Q1" s="68"/>
    </row>
    <row r="2" spans="1:17" ht="30.75" thickTop="1" x14ac:dyDescent="0.25">
      <c r="A2" s="20" t="s">
        <v>13</v>
      </c>
      <c r="B2" s="37" t="s">
        <v>22</v>
      </c>
      <c r="C2" s="37" t="s">
        <v>23</v>
      </c>
      <c r="D2" s="37" t="s">
        <v>24</v>
      </c>
      <c r="E2" s="37" t="s">
        <v>51</v>
      </c>
      <c r="F2" s="37" t="s">
        <v>52</v>
      </c>
      <c r="G2" s="59" t="s">
        <v>22</v>
      </c>
      <c r="H2" s="37" t="s">
        <v>23</v>
      </c>
      <c r="I2" s="37" t="s">
        <v>24</v>
      </c>
      <c r="J2" s="37" t="s">
        <v>51</v>
      </c>
      <c r="K2" s="37" t="s">
        <v>52</v>
      </c>
      <c r="L2" s="59" t="s">
        <v>22</v>
      </c>
      <c r="M2" s="37" t="s">
        <v>23</v>
      </c>
      <c r="N2" s="37" t="s">
        <v>24</v>
      </c>
      <c r="O2" s="37" t="s">
        <v>51</v>
      </c>
      <c r="P2" s="37" t="s">
        <v>52</v>
      </c>
      <c r="Q2" s="56" t="s">
        <v>25</v>
      </c>
    </row>
    <row r="3" spans="1:17" s="25" customFormat="1" x14ac:dyDescent="0.25">
      <c r="A3" s="31">
        <v>2016</v>
      </c>
      <c r="B3" s="77"/>
      <c r="C3" s="77"/>
      <c r="D3" s="77">
        <v>200000</v>
      </c>
      <c r="E3" s="77">
        <v>95000</v>
      </c>
      <c r="F3" s="77">
        <v>139992</v>
      </c>
      <c r="G3" s="48">
        <f>B3</f>
        <v>0</v>
      </c>
      <c r="H3" s="38">
        <f>C3</f>
        <v>0</v>
      </c>
      <c r="I3" s="38">
        <f>D3</f>
        <v>200000</v>
      </c>
      <c r="J3" s="38">
        <f>E3</f>
        <v>95000</v>
      </c>
      <c r="K3" s="38">
        <f>F3</f>
        <v>139992</v>
      </c>
      <c r="L3" s="48">
        <f>IF(G4=0,0,AVERAGEIF(G4:G6,"&lt;&gt;0"))+G3</f>
        <v>78735.228399999993</v>
      </c>
      <c r="M3" s="41">
        <f>IF(H4=0,0,AVERAGEIF(H4:H6,"&lt;&gt;0"))+H3</f>
        <v>23811.165199999999</v>
      </c>
      <c r="N3" s="41">
        <f>IF(I4=0,0,AVERAGEIF(I4:I6,"&lt;&gt;0"))+I3</f>
        <v>200000</v>
      </c>
      <c r="O3" s="41">
        <f>IF(J4=0,0,AVERAGEIF(J4:J6,"&lt;&gt;0"))+J3</f>
        <v>95000</v>
      </c>
      <c r="P3" s="41">
        <f>IF(K4=0,0,AVERAGEIF(K4:K6,"&lt;&gt;0"))+K3</f>
        <v>139992</v>
      </c>
      <c r="Q3" s="60">
        <f>SUM(L3:P3)</f>
        <v>537538.39360000007</v>
      </c>
    </row>
    <row r="4" spans="1:17" x14ac:dyDescent="0.25">
      <c r="A4" s="31">
        <v>2015</v>
      </c>
      <c r="B4" s="38">
        <v>91847</v>
      </c>
      <c r="C4" s="38">
        <v>17185</v>
      </c>
      <c r="D4" s="38"/>
      <c r="E4" s="38"/>
      <c r="F4" s="38"/>
      <c r="G4" s="48">
        <f>B4</f>
        <v>91847</v>
      </c>
      <c r="H4" s="38">
        <f>C4</f>
        <v>17185</v>
      </c>
      <c r="I4" s="38">
        <f>D4</f>
        <v>0</v>
      </c>
      <c r="J4" s="38">
        <f>E4</f>
        <v>0</v>
      </c>
      <c r="K4" s="38">
        <f>F4</f>
        <v>0</v>
      </c>
      <c r="L4" s="48"/>
      <c r="M4" s="41"/>
      <c r="N4" s="41"/>
      <c r="O4" s="41"/>
      <c r="P4" s="41"/>
      <c r="Q4" s="57"/>
    </row>
    <row r="5" spans="1:17" x14ac:dyDescent="0.25">
      <c r="A5" s="31">
        <v>2014</v>
      </c>
      <c r="B5" s="38">
        <v>65571</v>
      </c>
      <c r="C5" s="38">
        <v>30413</v>
      </c>
      <c r="D5" s="38"/>
      <c r="E5" s="38"/>
      <c r="F5" s="38"/>
      <c r="G5" s="48">
        <f>B5*Pristalsregulering!$C$7</f>
        <v>65623.4568</v>
      </c>
      <c r="H5" s="38">
        <f>C5*Pristalsregulering!$C$7</f>
        <v>30437.330399999999</v>
      </c>
      <c r="I5" s="38">
        <f>D5*Pristalsregulering!$C$7</f>
        <v>0</v>
      </c>
      <c r="J5" s="38">
        <f>E5*Pristalsregulering!$C$7</f>
        <v>0</v>
      </c>
      <c r="K5" s="38">
        <f>F5*Pristalsregulering!$C$7</f>
        <v>0</v>
      </c>
      <c r="L5" s="48"/>
      <c r="M5" s="38"/>
      <c r="N5" s="41"/>
      <c r="O5" s="41"/>
      <c r="P5" s="41"/>
      <c r="Q5" s="48"/>
    </row>
    <row r="6" spans="1:17" x14ac:dyDescent="0.25">
      <c r="A6" s="31">
        <v>2013</v>
      </c>
      <c r="B6" s="38"/>
      <c r="C6" s="38"/>
      <c r="D6" s="38"/>
      <c r="E6" s="38"/>
      <c r="F6" s="38"/>
      <c r="G6" s="48">
        <f>B6*Pristalsregulering!$C$7*Pristalsregulering!$C$6</f>
        <v>0</v>
      </c>
      <c r="H6" s="38">
        <f>C6*Pristalsregulering!$C$7*Pristalsregulering!$C$6</f>
        <v>0</v>
      </c>
      <c r="I6" s="38">
        <f>D6*Pristalsregulering!$C$7*Pristalsregulering!$C$6</f>
        <v>0</v>
      </c>
      <c r="J6" s="38">
        <f>E6*Pristalsregulering!$C$7*Pristalsregulering!$C$6</f>
        <v>0</v>
      </c>
      <c r="K6" s="38">
        <f>F6*Pristalsregulering!$C$7*Pristalsregulering!$C$6</f>
        <v>0</v>
      </c>
      <c r="L6" s="48"/>
      <c r="M6" s="38"/>
      <c r="N6" s="41"/>
      <c r="O6" s="41"/>
      <c r="P6" s="41"/>
      <c r="Q6" s="48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8" t="s">
        <v>26</v>
      </c>
      <c r="C1" s="79"/>
      <c r="D1" s="79"/>
      <c r="E1" s="80" t="s">
        <v>60</v>
      </c>
      <c r="F1" s="81"/>
      <c r="G1" s="82"/>
      <c r="H1" s="32"/>
    </row>
    <row r="2" spans="1:8" s="24" customFormat="1" ht="15.75" thickTop="1" x14ac:dyDescent="0.25">
      <c r="A2" s="22" t="s">
        <v>13</v>
      </c>
      <c r="B2" s="19" t="s">
        <v>27</v>
      </c>
      <c r="C2" s="23" t="s">
        <v>28</v>
      </c>
      <c r="D2" s="23" t="s">
        <v>29</v>
      </c>
      <c r="E2" s="19" t="s">
        <v>27</v>
      </c>
      <c r="F2" s="23" t="s">
        <v>28</v>
      </c>
      <c r="G2" s="49" t="s">
        <v>29</v>
      </c>
      <c r="H2" s="7" t="s">
        <v>31</v>
      </c>
    </row>
    <row r="3" spans="1:8" x14ac:dyDescent="0.25">
      <c r="A3" s="34">
        <v>2015</v>
      </c>
      <c r="B3" s="44">
        <v>2294</v>
      </c>
      <c r="C3" s="45">
        <v>12211</v>
      </c>
      <c r="D3" s="45">
        <v>0</v>
      </c>
      <c r="E3" s="44">
        <f>B3</f>
        <v>2294</v>
      </c>
      <c r="F3" s="45">
        <f t="shared" ref="F3:G3" si="0">C3</f>
        <v>12211</v>
      </c>
      <c r="G3" s="46">
        <f t="shared" si="0"/>
        <v>0</v>
      </c>
      <c r="H3" s="47">
        <f>IF(E3=0,0,AVERAGEIF(E3:E5,"&lt;&gt;0"))+IF(F3=0,0,AVERAGEIF(F3:F5,"&lt;&gt;0"))+IF(G3=0,0,AVERAGEIF(G3:G5,"&lt;&gt;0"))</f>
        <v>38437.822435999995</v>
      </c>
    </row>
    <row r="4" spans="1:8" x14ac:dyDescent="0.25">
      <c r="A4" s="34">
        <v>2014</v>
      </c>
      <c r="B4" s="44">
        <v>11124</v>
      </c>
      <c r="C4" s="45">
        <v>39200</v>
      </c>
      <c r="D4" s="45">
        <v>0</v>
      </c>
      <c r="E4" s="44">
        <f>B4*Pristalsregulering!$C$7</f>
        <v>11132.8992</v>
      </c>
      <c r="F4" s="45">
        <f>C4*Pristalsregulering!$C$7</f>
        <v>39231.359999999993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12059</v>
      </c>
      <c r="C5" s="45">
        <v>37600</v>
      </c>
      <c r="D5" s="45">
        <v>0</v>
      </c>
      <c r="E5" s="44">
        <f>B5*Pristalsregulering!$C$7*Pristalsregulering!$C$6</f>
        <v>12249.676907999998</v>
      </c>
      <c r="F5" s="45">
        <f>C5*Pristalsregulering!$C$7*Pristalsregulering!$C$6</f>
        <v>38194.53119999999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57</v>
      </c>
    </row>
    <row r="2" spans="1:2" ht="15.75" thickTop="1" x14ac:dyDescent="0.25">
      <c r="A2" s="31">
        <v>2015</v>
      </c>
      <c r="B2" s="52">
        <v>1186973.7154618909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6"/>
      <c r="B1" s="81" t="s">
        <v>75</v>
      </c>
      <c r="C1" s="81"/>
      <c r="D1" s="82"/>
      <c r="E1" s="83" t="s">
        <v>76</v>
      </c>
      <c r="F1" s="83"/>
      <c r="G1" s="83"/>
    </row>
    <row r="2" spans="1:7" s="25" customFormat="1" ht="15.75" thickTop="1" x14ac:dyDescent="0.25">
      <c r="A2" s="74" t="s">
        <v>13</v>
      </c>
      <c r="B2" s="26" t="s">
        <v>73</v>
      </c>
      <c r="C2" s="26" t="s">
        <v>1</v>
      </c>
      <c r="D2" s="31" t="s">
        <v>74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5">
        <v>2015</v>
      </c>
      <c r="B3" s="41">
        <v>22688533.764940009</v>
      </c>
      <c r="C3" s="41">
        <v>1425041.8664333334</v>
      </c>
      <c r="D3" s="43">
        <v>361758.76</v>
      </c>
      <c r="E3" s="38">
        <f>B3*Pristalsregulering!C2*Pristalsregulering!C3*Pristalsregulering!C4*Pristalsregulering!C5*Pristalsregulering!C6*Pristalsregulering!C7</f>
        <v>24700983.228874519</v>
      </c>
      <c r="F3" s="38">
        <v>1456018.7644656356</v>
      </c>
      <c r="G3" s="38">
        <f>D3</f>
        <v>361758.76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3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8" t="s">
        <v>42</v>
      </c>
      <c r="C1" s="79"/>
      <c r="D1" s="79"/>
      <c r="E1" s="79"/>
      <c r="F1" s="80" t="s">
        <v>61</v>
      </c>
      <c r="G1" s="81"/>
      <c r="H1" s="81"/>
      <c r="I1" s="81"/>
      <c r="J1" s="84" t="s">
        <v>31</v>
      </c>
      <c r="K1" s="83"/>
      <c r="L1" s="85"/>
      <c r="M1" s="16"/>
    </row>
    <row r="2" spans="1:14" s="29" customFormat="1" ht="15.75" thickTop="1" x14ac:dyDescent="0.25">
      <c r="A2" s="22" t="s">
        <v>13</v>
      </c>
      <c r="B2" s="9" t="s">
        <v>43</v>
      </c>
      <c r="C2" s="8" t="s">
        <v>44</v>
      </c>
      <c r="D2" s="8" t="s">
        <v>45</v>
      </c>
      <c r="E2" s="54" t="s">
        <v>46</v>
      </c>
      <c r="F2" s="8" t="s">
        <v>43</v>
      </c>
      <c r="G2" s="8" t="s">
        <v>44</v>
      </c>
      <c r="H2" s="8" t="s">
        <v>45</v>
      </c>
      <c r="I2" s="54" t="s">
        <v>46</v>
      </c>
      <c r="J2" s="23" t="s">
        <v>47</v>
      </c>
      <c r="K2" s="23" t="s">
        <v>44</v>
      </c>
      <c r="L2" s="18" t="s">
        <v>79</v>
      </c>
      <c r="M2" s="7" t="s">
        <v>30</v>
      </c>
      <c r="N2" s="35"/>
    </row>
    <row r="3" spans="1:14" x14ac:dyDescent="0.25">
      <c r="A3" s="31">
        <v>2015</v>
      </c>
      <c r="B3" s="48">
        <v>0</v>
      </c>
      <c r="C3" s="41">
        <v>1232681</v>
      </c>
      <c r="D3" s="41">
        <v>1082</v>
      </c>
      <c r="E3" s="43">
        <v>0</v>
      </c>
      <c r="F3" s="41">
        <f>B3</f>
        <v>0</v>
      </c>
      <c r="G3" s="41">
        <f>C3</f>
        <v>1232681</v>
      </c>
      <c r="H3" s="41">
        <f>D3</f>
        <v>1082</v>
      </c>
      <c r="I3" s="43">
        <f>E3</f>
        <v>0</v>
      </c>
      <c r="J3" s="45">
        <f>AVERAGE(F3:F5)</f>
        <v>0</v>
      </c>
      <c r="K3" s="45">
        <f>G3</f>
        <v>1232681</v>
      </c>
      <c r="L3" s="46">
        <f>AVERAGE(H3:H5)+AVERAGE(I3:I5)</f>
        <v>611.8674666666667</v>
      </c>
      <c r="M3" s="47">
        <f>SUM(J3:L3)</f>
        <v>1233292.8674666667</v>
      </c>
      <c r="N3" s="26"/>
    </row>
    <row r="4" spans="1:14" x14ac:dyDescent="0.25">
      <c r="A4" s="31">
        <v>2014</v>
      </c>
      <c r="B4" s="48">
        <v>0</v>
      </c>
      <c r="C4" s="41">
        <v>1420229</v>
      </c>
      <c r="D4" s="41">
        <v>753</v>
      </c>
      <c r="E4" s="43">
        <v>0</v>
      </c>
      <c r="F4" s="41">
        <f>IF(B4="","",B4*Pristalsregulering!$C$7)</f>
        <v>0</v>
      </c>
      <c r="G4" s="41">
        <f>IF(C4="","",C4*Pristalsregulering!$C$7)</f>
        <v>1421365.1831999999</v>
      </c>
      <c r="H4" s="41">
        <f>IF(D4="","",D4*Pristalsregulering!$C$7)</f>
        <v>753.60239999999999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825361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838411.60813199985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71" t="s">
        <v>32</v>
      </c>
      <c r="C1" s="71" t="s">
        <v>33</v>
      </c>
      <c r="D1" s="71" t="s">
        <v>34</v>
      </c>
      <c r="E1" s="71" t="s">
        <v>35</v>
      </c>
      <c r="F1" s="71" t="s">
        <v>36</v>
      </c>
      <c r="G1" s="71" t="s">
        <v>37</v>
      </c>
      <c r="H1" s="71" t="s">
        <v>38</v>
      </c>
      <c r="I1" s="71" t="s">
        <v>39</v>
      </c>
      <c r="J1" s="71" t="s">
        <v>40</v>
      </c>
      <c r="K1" s="71" t="s">
        <v>62</v>
      </c>
      <c r="L1" s="72" t="s">
        <v>41</v>
      </c>
      <c r="M1" s="17" t="s">
        <v>30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0</v>
      </c>
      <c r="E2" s="45">
        <v>8974896</v>
      </c>
      <c r="F2" s="45">
        <v>0</v>
      </c>
      <c r="G2" s="45">
        <v>0</v>
      </c>
      <c r="H2" s="45">
        <v>0</v>
      </c>
      <c r="I2" s="45">
        <v>0</v>
      </c>
      <c r="J2" s="45"/>
      <c r="K2" s="45"/>
      <c r="L2" s="46">
        <v>0</v>
      </c>
      <c r="M2" s="47">
        <f>SUM(B2:L2)</f>
        <v>9007419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48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48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8" bestFit="1" customWidth="1"/>
    <col min="3" max="16384" width="9.140625" hidden="1"/>
  </cols>
  <sheetData>
    <row r="1" spans="1:2" x14ac:dyDescent="0.25">
      <c r="A1" s="66" t="s">
        <v>63</v>
      </c>
      <c r="B1" s="67" t="s">
        <v>64</v>
      </c>
    </row>
    <row r="2" spans="1:2" x14ac:dyDescent="0.25">
      <c r="A2" s="26" t="s">
        <v>80</v>
      </c>
      <c r="B2" s="38">
        <v>258447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2016-11-11T16:24:13Z</dcterms:modified>
</cp:coreProperties>
</file>