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Medfinansiering" sheetId="29" r:id="rId9"/>
    <sheet name="Pristalsregulering" sheetId="27" r:id="rId10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3" i="12" l="1"/>
  <c r="M2" i="18" l="1"/>
  <c r="B5" i="12" l="1"/>
  <c r="C8" i="27" l="1"/>
  <c r="C9" i="27"/>
  <c r="E2" i="15" l="1"/>
  <c r="G4" i="16" l="1"/>
  <c r="E3" i="16"/>
  <c r="F3" i="16"/>
  <c r="G3" i="16"/>
  <c r="J3" i="16" l="1"/>
  <c r="F3" i="17"/>
  <c r="G3" i="17"/>
  <c r="E4" i="16" l="1"/>
  <c r="F4" i="16"/>
  <c r="G3" i="24"/>
  <c r="K3" i="24" s="1"/>
  <c r="H3" i="24"/>
  <c r="I3" i="24"/>
  <c r="F3" i="24"/>
  <c r="B12" i="12"/>
  <c r="B14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6" i="16"/>
  <c r="G5" i="16"/>
  <c r="G5" i="17"/>
  <c r="F4" i="17"/>
  <c r="E5" i="17"/>
  <c r="G4" i="17"/>
  <c r="E4" i="17"/>
  <c r="F5" i="17"/>
  <c r="F5" i="16"/>
  <c r="I3" i="16" s="1"/>
  <c r="E5" i="16"/>
  <c r="H3" i="16" s="1"/>
  <c r="J3" i="24"/>
  <c r="F6" i="16"/>
  <c r="E6" i="16"/>
  <c r="M3" i="24" l="1"/>
  <c r="B10" i="12" s="1"/>
  <c r="B11" i="12" s="1"/>
  <c r="H3" i="17"/>
  <c r="B4" i="12" s="1"/>
  <c r="I2" i="15"/>
  <c r="K2" i="15" s="1"/>
  <c r="B2" i="12" s="1"/>
  <c r="K3" i="16" l="1"/>
  <c r="B3" i="12" s="1"/>
  <c r="B6" i="12" s="1"/>
  <c r="B16" i="12" l="1"/>
  <c r="B18" i="12" s="1"/>
</calcChain>
</file>

<file path=xl/sharedStrings.xml><?xml version="1.0" encoding="utf-8"?>
<sst xmlns="http://schemas.openxmlformats.org/spreadsheetml/2006/main" count="123" uniqueCount="82">
  <si>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</si>
  <si>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</si>
  <si>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</si>
  <si>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</si>
  <si>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</si>
  <si>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</si>
  <si>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</si>
  <si>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</si>
  <si>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</si>
  <si>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</si>
  <si>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</si>
  <si>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</si>
  <si>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</si>
  <si>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</si>
  <si>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</si>
  <si>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</si>
  <si>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</si>
  <si>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</si>
  <si>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</si>
  <si>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</si>
  <si>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</si>
  <si>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</si>
  <si>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TV-inspektion</t>
  </si>
  <si>
    <t>Fejlkoblingsanalyser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</si>
  <si>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</si>
  <si>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</si>
  <si>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</si>
  <si>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</si>
  <si>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</si>
  <si>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</si>
  <si>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</si>
  <si>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</si>
  <si>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</si>
  <si>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</si>
  <si>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</si>
  <si>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</si>
  <si>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</si>
  <si>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</si>
  <si>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</si>
  <si>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</si>
  <si>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</si>
  <si>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</si>
  <si>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</si>
  <si>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</si>
  <si>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</si>
  <si>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</si>
  <si>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</si>
  <si>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</si>
  <si>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</si>
  <si>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</si>
  <si>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Bassinanlæg (drift)</t>
  </si>
  <si>
    <t>Medfinansiering af klimaprojekter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</si>
  <si>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</si>
  <si>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</si>
  <si>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</si>
  <si>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</si>
  <si>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</si>
  <si>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</si>
  <si>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</si>
  <si>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</si>
  <si>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</si>
  <si>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</si>
  <si>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</si>
  <si>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</si>
  <si>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</si>
  <si>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</si>
  <si>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</si>
  <si>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</si>
  <si>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</si>
  <si>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</si>
  <si>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</si>
  <si>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</si>
  <si>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</si>
  <si>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</si>
  <si>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</si>
  <si>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</si>
  <si>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</si>
  <si>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</si>
  <si>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Klimaprojekt Sædbækken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</si>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</sst>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2" applyFill="0" applyAlignment="0" applyProtection="0"/>
    <xf numFmtId="168" fontId="24" fillId="0" borderId="22" applyFill="0" applyAlignment="0" applyProtection="0"/>
    <xf numFmtId="169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20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165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6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4" xfId="27368" applyNumberFormat="1" applyFont="1" applyBorder="1"/>
    <xf numFmtId="166" fontId="0" fillId="0" borderId="29" xfId="27368" applyNumberFormat="1" applyFont="1" applyFill="1" applyBorder="1"/>
    <xf numFmtId="166" fontId="0" fillId="0" borderId="0" xfId="27368" applyNumberFormat="1" applyFont="1" applyFill="1" applyBorder="1"/>
    <xf numFmtId="166" fontId="0" fillId="0" borderId="24" xfId="27368" applyNumberFormat="1" applyFont="1" applyFill="1" applyBorder="1"/>
    <xf numFmtId="166" fontId="3" fillId="0" borderId="0" xfId="27368" applyNumberFormat="1" applyFont="1" applyFill="1" applyBorder="1"/>
    <xf numFmtId="166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6" fontId="3" fillId="0" borderId="3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6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6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6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3" xfId="0" applyFont="1" applyBorder="1"/>
    <xf numFmtId="0" fontId="4" fillId="0" borderId="0" xfId="0" applyFont="1" applyFill="1" applyAlignment="1">
      <alignment horizontal="left"/>
    </xf>
    <xf numFmtId="166" fontId="4" fillId="0" borderId="0" xfId="27368" applyNumberFormat="1" applyFont="1" applyFill="1" applyAlignment="1">
      <alignment horizontal="left"/>
    </xf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6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6" fontId="0" fillId="0" borderId="0" xfId="27368" applyNumberFormat="1" applyFont="1" applyBorder="1" applyAlignment="1">
      <alignment wrapText="1"/>
    </xf>
    <xf numFmtId="166" fontId="3" fillId="0" borderId="27" xfId="0" applyNumberFormat="1" applyFont="1" applyFill="1" applyBorder="1" applyAlignment="1">
      <alignment horizontal="left"/>
    </xf>
    <xf numFmtId="166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21451700.132233333</v>
      </c>
      <c r="C2" t="s">
        <v>11</v>
      </c>
    </row>
    <row r="3" spans="1:3" s="2" customFormat="1" x14ac:dyDescent="0.25">
      <c r="A3" s="6" t="s">
        <v>8</v>
      </c>
      <c r="B3" s="39">
        <f>'Miljø- og servicemål'!K3</f>
        <v>1010000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131242.66879999998</v>
      </c>
      <c r="C4" t="s">
        <v>11</v>
      </c>
    </row>
    <row r="5" spans="1:3" s="29" customFormat="1" x14ac:dyDescent="0.25">
      <c r="A5" s="5" t="s">
        <v>54</v>
      </c>
      <c r="B5" s="38">
        <f>'Periodevise driftsomkostninger'!B2</f>
        <v>468669</v>
      </c>
      <c r="C5" s="3" t="s">
        <v>11</v>
      </c>
    </row>
    <row r="6" spans="1:3" s="29" customFormat="1" x14ac:dyDescent="0.25">
      <c r="A6" s="4" t="s">
        <v>12</v>
      </c>
      <c r="B6" s="51">
        <f>SUM(B2:B5)</f>
        <v>23061611.801033333</v>
      </c>
      <c r="C6" s="65" t="s">
        <v>11</v>
      </c>
    </row>
    <row r="7" spans="1:3" x14ac:dyDescent="0.25">
      <c r="A7" s="50" t="s">
        <v>0</v>
      </c>
      <c r="B7" s="41">
        <f>Investeringer!E3</f>
        <v>37843380.229819067</v>
      </c>
      <c r="C7" s="26" t="s">
        <v>11</v>
      </c>
    </row>
    <row r="8" spans="1:3" x14ac:dyDescent="0.25">
      <c r="A8" s="5" t="s">
        <v>1</v>
      </c>
      <c r="B8" s="38">
        <f>Investeringer!F3</f>
        <v>6270471.387534786</v>
      </c>
      <c r="C8" t="s">
        <v>11</v>
      </c>
    </row>
    <row r="9" spans="1:3" x14ac:dyDescent="0.25">
      <c r="A9" s="5" t="s">
        <v>2</v>
      </c>
      <c r="B9" s="38">
        <f>Investeringer!G3</f>
        <v>630666.66666666663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1757345.1780066667</v>
      </c>
      <c r="C10" t="s">
        <v>11</v>
      </c>
    </row>
    <row r="11" spans="1:3" s="25" customFormat="1" x14ac:dyDescent="0.25">
      <c r="A11" s="4" t="s">
        <v>48</v>
      </c>
      <c r="B11" s="51">
        <f>SUM(B7:B10)</f>
        <v>46501863.462027185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7659021</v>
      </c>
      <c r="C12" t="s">
        <v>11</v>
      </c>
    </row>
    <row r="13" spans="1:3" s="25" customFormat="1" x14ac:dyDescent="0.25">
      <c r="A13" s="5" t="s">
        <v>51</v>
      </c>
      <c r="B13" s="38">
        <f>SUM(Medfinansiering!B:B)</f>
        <v>407366</v>
      </c>
      <c r="C13" s="25" t="s">
        <v>11</v>
      </c>
    </row>
    <row r="14" spans="1:3" s="25" customFormat="1" x14ac:dyDescent="0.25">
      <c r="A14" s="4" t="s">
        <v>75</v>
      </c>
      <c r="B14" s="51">
        <f>SUM(B12:B13)</f>
        <v>8066387</v>
      </c>
      <c r="C14" s="65" t="s">
        <v>11</v>
      </c>
    </row>
    <row r="15" spans="1:3" x14ac:dyDescent="0.25">
      <c r="A15" s="1"/>
      <c r="B15" s="38"/>
    </row>
    <row r="16" spans="1:3" ht="15.75" thickBot="1" x14ac:dyDescent="0.3">
      <c r="A16" s="30" t="s">
        <v>64</v>
      </c>
      <c r="B16" s="40">
        <f>SUM(B6,B11,B14)</f>
        <v>77629862.26306051</v>
      </c>
      <c r="C16" s="30" t="s">
        <v>3</v>
      </c>
    </row>
    <row r="17" spans="1:3" ht="15.75" thickTop="1" x14ac:dyDescent="0.25"/>
    <row r="18" spans="1:3" ht="15.75" thickBot="1" x14ac:dyDescent="0.3">
      <c r="A18" s="30" t="s">
        <v>56</v>
      </c>
      <c r="B18" s="40">
        <f>B16*Pristalsregulering!C8*Pristalsregulering!C9</f>
        <v>78317021.620048925</v>
      </c>
      <c r="C18" s="30" t="s">
        <v>3</v>
      </c>
    </row>
    <row r="19" spans="1:3" ht="15.75" hidden="1" thickTop="1" x14ac:dyDescent="0.25">
      <c r="B19" s="64"/>
    </row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9" t="s">
        <v>63</v>
      </c>
      <c r="B2" s="70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52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53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65</v>
      </c>
      <c r="D1" s="62" t="s">
        <v>66</v>
      </c>
      <c r="E1" s="62" t="s">
        <v>57</v>
      </c>
      <c r="F1" s="55" t="s">
        <v>67</v>
      </c>
      <c r="G1" s="55" t="s">
        <v>76</v>
      </c>
      <c r="H1" s="55" t="s">
        <v>68</v>
      </c>
      <c r="I1" s="55" t="s">
        <v>49</v>
      </c>
      <c r="J1" s="14" t="s">
        <v>69</v>
      </c>
      <c r="K1" s="14" t="s">
        <v>70</v>
      </c>
    </row>
    <row r="2" spans="1:11" s="26" customFormat="1" ht="15.75" thickTop="1" x14ac:dyDescent="0.25">
      <c r="A2" s="31">
        <v>2015</v>
      </c>
      <c r="B2" s="52">
        <v>19817284</v>
      </c>
      <c r="C2" s="52">
        <v>0</v>
      </c>
      <c r="D2" s="52">
        <f>B2+C2</f>
        <v>19817284</v>
      </c>
      <c r="E2" s="53">
        <f>D2</f>
        <v>19817284</v>
      </c>
      <c r="F2" s="52">
        <v>22098600.992016077</v>
      </c>
      <c r="G2" s="52">
        <v>466888</v>
      </c>
      <c r="H2" s="52">
        <f>F2-G2</f>
        <v>21631712.992016077</v>
      </c>
      <c r="I2" s="52">
        <f>AVERAGEIF(E2:E4,"&lt;&gt;0")</f>
        <v>21451700.132233333</v>
      </c>
      <c r="J2" s="52">
        <v>15416410.404733671</v>
      </c>
      <c r="K2" s="42">
        <f>IF(H2&gt;I2,IF(I2&gt;J2,I2,J2),H2)</f>
        <v>21451700.132233333</v>
      </c>
    </row>
    <row r="3" spans="1:11" s="26" customFormat="1" x14ac:dyDescent="0.25">
      <c r="A3" s="31">
        <v>2014</v>
      </c>
      <c r="B3" s="52">
        <v>21198652</v>
      </c>
      <c r="C3" s="52"/>
      <c r="D3" s="52">
        <f t="shared" ref="D3:D4" si="0">B3+C3</f>
        <v>21198652</v>
      </c>
      <c r="E3" s="53">
        <f>D3*Pristalsregulering!C7</f>
        <v>21215610.921599999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22959175</v>
      </c>
      <c r="C4" s="52"/>
      <c r="D4" s="52">
        <f t="shared" si="0"/>
        <v>22959175</v>
      </c>
      <c r="E4" s="53">
        <f>D4*Pristalsregulering!$C$6*Pristalsregulering!$C$7</f>
        <v>23322205.475099996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5" customWidth="1"/>
    <col min="5" max="5" width="30.7109375" style="58" customWidth="1"/>
    <col min="6" max="6" width="30.7109375" customWidth="1"/>
    <col min="7" max="7" width="30.7109375" style="25" customWidth="1"/>
    <col min="8" max="8" width="30.7109375" style="58" customWidth="1"/>
    <col min="9" max="9" width="30.7109375" customWidth="1"/>
    <col min="10" max="10" width="30.7109375" style="25" customWidth="1"/>
    <col min="11" max="11" width="30.7109375" style="58" customWidth="1"/>
    <col min="12" max="12" width="9.140625" hidden="1" customWidth="1"/>
    <col min="13" max="18" width="0" hidden="1" customWidth="1"/>
    <col min="19" max="19" width="9.140625" hidden="1" customWidth="1"/>
    <col min="20" max="33" width="0" hidden="1" customWidth="1"/>
    <col min="34" max="34" width="9.140625" hidden="1" customWidth="1"/>
    <col min="35" max="40" width="0" hidden="1" customWidth="1"/>
    <col min="41" max="41" width="9.140625" hidden="1" customWidth="1"/>
    <col min="42" max="47" width="0" hidden="1" customWidth="1"/>
    <col min="48" max="48" width="9.140625" hidden="1" customWidth="1"/>
    <col min="49" max="54" width="0" hidden="1" customWidth="1"/>
    <col min="55" max="55" width="9.140625" hidden="1" customWidth="1"/>
    <col min="56" max="85" width="0" hidden="1" customWidth="1"/>
    <col min="86" max="86" width="9.140625" hidden="1" customWidth="1"/>
    <col min="87" max="92" width="0" hidden="1" customWidth="1"/>
    <col min="93" max="93" width="9.140625" hidden="1" customWidth="1"/>
    <col min="94" max="107" width="0" hidden="1" customWidth="1"/>
    <col min="108" max="108" width="9.140625" hidden="1" customWidth="1"/>
    <col min="109" max="114" width="0" hidden="1" customWidth="1"/>
    <col min="115" max="115" width="9.140625" hidden="1" customWidth="1"/>
    <col min="116" max="121" width="0" hidden="1" customWidth="1"/>
    <col min="122" max="122" width="9.140625" hidden="1" customWidth="1"/>
    <col min="123" max="128" width="0" hidden="1" customWidth="1"/>
    <col min="129" max="130" width="9.140625" hidden="1" customWidth="1"/>
    <col min="131" max="136" width="0" hidden="1" customWidth="1"/>
    <col min="137" max="137" width="9.140625" hidden="1" customWidth="1"/>
    <col min="138" max="143" width="0" hidden="1" customWidth="1"/>
    <col min="144" max="144" width="9.140625" hidden="1" customWidth="1"/>
    <col min="145" max="150" width="0" hidden="1" customWidth="1"/>
    <col min="151" max="151" width="9.140625" hidden="1" customWidth="1"/>
    <col min="152" max="157" width="0" hidden="1" customWidth="1"/>
    <col min="158" max="158" width="9.140625" hidden="1" customWidth="1"/>
    <col min="159" max="164" width="0" hidden="1" customWidth="1"/>
    <col min="165" max="165" width="9.140625" hidden="1" customWidth="1"/>
    <col min="166" max="166" width="0" hidden="1" customWidth="1"/>
    <col min="167" max="167" width="9.140625" hidden="1" customWidth="1"/>
    <col min="168" max="181" width="0" hidden="1" customWidth="1"/>
    <col min="182" max="182" width="9.140625" hidden="1" customWidth="1"/>
    <col min="183" max="188" width="0" hidden="1" customWidth="1"/>
    <col min="189" max="189" width="9.140625" hidden="1" customWidth="1"/>
    <col min="190" max="195" width="0" hidden="1" customWidth="1"/>
    <col min="196" max="196" width="9.140625" hidden="1" customWidth="1"/>
    <col min="197" max="202" width="0" hidden="1" customWidth="1"/>
    <col min="203" max="204" width="9.140625" hidden="1" customWidth="1"/>
    <col min="205" max="210" width="0" hidden="1" customWidth="1"/>
    <col min="211" max="211" width="9.140625" hidden="1" customWidth="1"/>
    <col min="212" max="217" width="0" hidden="1" customWidth="1"/>
    <col min="218" max="218" width="9.140625" hidden="1" customWidth="1"/>
    <col min="219" max="224" width="0" hidden="1" customWidth="1"/>
    <col min="225" max="225" width="9.140625" hidden="1" customWidth="1"/>
    <col min="226" max="231" width="0" hidden="1" customWidth="1"/>
    <col min="232" max="232" width="9.140625" hidden="1" customWidth="1"/>
    <col min="233" max="238" width="0" hidden="1" customWidth="1"/>
    <col min="239" max="240" width="9.140625" hidden="1" customWidth="1"/>
    <col min="241" max="246" width="0" hidden="1" customWidth="1"/>
    <col min="247" max="247" width="9.140625" hidden="1" customWidth="1"/>
    <col min="248" max="253" width="0" hidden="1" customWidth="1"/>
    <col min="254" max="254" width="9.140625" hidden="1" customWidth="1"/>
    <col min="255" max="260" width="0" hidden="1" customWidth="1"/>
    <col min="261" max="261" width="9.140625" hidden="1" customWidth="1"/>
    <col min="262" max="267" width="0" hidden="1" customWidth="1"/>
    <col min="268" max="268" width="9.140625" hidden="1" customWidth="1"/>
    <col min="269" max="274" width="0" hidden="1" customWidth="1"/>
    <col min="275" max="275" width="9.140625" hidden="1" customWidth="1"/>
    <col min="276" max="277" width="0" hidden="1" customWidth="1"/>
    <col min="278" max="278" width="9.140625" hidden="1" customWidth="1"/>
    <col min="279" max="284" width="0" hidden="1" customWidth="1"/>
    <col min="285" max="285" width="9.140625" hidden="1" customWidth="1"/>
    <col min="286" max="291" width="0" hidden="1" customWidth="1"/>
    <col min="292" max="292" width="9.140625" hidden="1" customWidth="1"/>
    <col min="293" max="298" width="0" hidden="1" customWidth="1"/>
    <col min="299" max="299" width="9.140625" hidden="1" customWidth="1"/>
    <col min="300" max="305" width="0" hidden="1" customWidth="1"/>
    <col min="306" max="307" width="9.140625" hidden="1" customWidth="1"/>
    <col min="308" max="313" width="0" hidden="1" customWidth="1"/>
    <col min="314" max="314" width="9.140625" hidden="1" customWidth="1"/>
    <col min="315" max="320" width="0" hidden="1" customWidth="1"/>
    <col min="321" max="321" width="9.140625" hidden="1" customWidth="1"/>
    <col min="322" max="327" width="0" hidden="1" customWidth="1"/>
    <col min="328" max="328" width="9.140625" hidden="1" customWidth="1"/>
    <col min="329" max="334" width="0" hidden="1" customWidth="1"/>
    <col min="335" max="335" width="9.140625" hidden="1" customWidth="1"/>
    <col min="336" max="341" width="0" hidden="1" customWidth="1"/>
    <col min="342" max="16384" width="9.140625" hidden="1"/>
  </cols>
  <sheetData>
    <row r="1" spans="1:11" s="30" customFormat="1" ht="15.75" thickBot="1" x14ac:dyDescent="0.3">
      <c r="A1" s="10"/>
      <c r="B1" s="36" t="s">
        <v>79</v>
      </c>
      <c r="C1" s="36"/>
      <c r="D1" s="36"/>
      <c r="E1" s="68" t="s">
        <v>80</v>
      </c>
      <c r="F1" s="13"/>
      <c r="G1" s="13"/>
      <c r="H1" s="68" t="s">
        <v>81</v>
      </c>
      <c r="I1" s="13"/>
      <c r="J1" s="13"/>
      <c r="K1" s="68"/>
    </row>
    <row r="2" spans="1:11" ht="15.75" thickTop="1" x14ac:dyDescent="0.25">
      <c r="A2" s="20" t="s">
        <v>13</v>
      </c>
      <c r="B2" s="37" t="s">
        <v>22</v>
      </c>
      <c r="C2" s="37" t="s">
        <v>23</v>
      </c>
      <c r="D2" s="37" t="s">
        <v>50</v>
      </c>
      <c r="E2" s="59" t="s">
        <v>22</v>
      </c>
      <c r="F2" s="37" t="s">
        <v>23</v>
      </c>
      <c r="G2" s="37" t="s">
        <v>50</v>
      </c>
      <c r="H2" s="59" t="s">
        <v>22</v>
      </c>
      <c r="I2" s="37" t="s">
        <v>23</v>
      </c>
      <c r="J2" s="37" t="s">
        <v>50</v>
      </c>
      <c r="K2" s="56" t="s">
        <v>24</v>
      </c>
    </row>
    <row r="3" spans="1:11" s="25" customFormat="1" x14ac:dyDescent="0.25">
      <c r="A3" s="31">
        <v>2016</v>
      </c>
      <c r="B3" s="77">
        <v>500000</v>
      </c>
      <c r="C3" s="77">
        <v>200000</v>
      </c>
      <c r="D3" s="77">
        <v>310000</v>
      </c>
      <c r="E3" s="48">
        <f t="shared" ref="E3:G4" si="0">B3</f>
        <v>500000</v>
      </c>
      <c r="F3" s="38">
        <f t="shared" si="0"/>
        <v>200000</v>
      </c>
      <c r="G3" s="38">
        <f t="shared" si="0"/>
        <v>310000</v>
      </c>
      <c r="H3" s="48">
        <f>IF(E4=0,0,AVERAGEIF(E4:E6,"&lt;&gt;0"))+E3</f>
        <v>500000</v>
      </c>
      <c r="I3" s="41">
        <f>IF(F4=0,0,AVERAGEIF(F4:F6,"&lt;&gt;0"))+F3</f>
        <v>200000</v>
      </c>
      <c r="J3" s="41">
        <f>IF(G4=0,0,AVERAGEIF(G4:G6,"&lt;&gt;0"))+G3</f>
        <v>310000</v>
      </c>
      <c r="K3" s="60">
        <f>SUM(H3:J3)</f>
        <v>1010000</v>
      </c>
    </row>
    <row r="4" spans="1:11" x14ac:dyDescent="0.25">
      <c r="A4" s="31">
        <v>2015</v>
      </c>
      <c r="B4" s="38"/>
      <c r="C4" s="38"/>
      <c r="D4" s="38"/>
      <c r="E4" s="48">
        <f t="shared" si="0"/>
        <v>0</v>
      </c>
      <c r="F4" s="38">
        <f t="shared" si="0"/>
        <v>0</v>
      </c>
      <c r="G4" s="38">
        <f t="shared" si="0"/>
        <v>0</v>
      </c>
      <c r="H4" s="48"/>
      <c r="I4" s="41"/>
      <c r="J4" s="41"/>
      <c r="K4" s="57"/>
    </row>
    <row r="5" spans="1:11" x14ac:dyDescent="0.25">
      <c r="A5" s="31">
        <v>2014</v>
      </c>
      <c r="B5" s="38"/>
      <c r="C5" s="38"/>
      <c r="D5" s="38"/>
      <c r="E5" s="48">
        <f>B5*Pristalsregulering!$C$7</f>
        <v>0</v>
      </c>
      <c r="F5" s="38">
        <f>C5*Pristalsregulering!$C$7</f>
        <v>0</v>
      </c>
      <c r="G5" s="38">
        <f>D5*Pristalsregulering!$C$7</f>
        <v>0</v>
      </c>
      <c r="H5" s="48"/>
      <c r="I5" s="38"/>
      <c r="J5" s="41"/>
      <c r="K5" s="48"/>
    </row>
    <row r="6" spans="1:11" x14ac:dyDescent="0.25">
      <c r="A6" s="31">
        <v>2013</v>
      </c>
      <c r="B6" s="38"/>
      <c r="C6" s="38"/>
      <c r="D6" s="38"/>
      <c r="E6" s="48">
        <f>B6*Pristalsregulering!$C$7*Pristalsregulering!$C$6</f>
        <v>0</v>
      </c>
      <c r="F6" s="38">
        <f>C6*Pristalsregulering!$C$7*Pristalsregulering!$C$6</f>
        <v>0</v>
      </c>
      <c r="G6" s="38">
        <f>D6*Pristalsregulering!$C$7*Pristalsregulering!$C$6</f>
        <v>0</v>
      </c>
      <c r="H6" s="48"/>
      <c r="I6" s="38"/>
      <c r="J6" s="41"/>
      <c r="K6" s="48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8" t="s">
        <v>25</v>
      </c>
      <c r="C1" s="79"/>
      <c r="D1" s="79"/>
      <c r="E1" s="80" t="s">
        <v>58</v>
      </c>
      <c r="F1" s="81"/>
      <c r="G1" s="82"/>
      <c r="H1" s="32"/>
    </row>
    <row r="2" spans="1:8" s="24" customFormat="1" ht="15.75" thickTop="1" x14ac:dyDescent="0.25">
      <c r="A2" s="22" t="s">
        <v>13</v>
      </c>
      <c r="B2" s="19" t="s">
        <v>26</v>
      </c>
      <c r="C2" s="23" t="s">
        <v>27</v>
      </c>
      <c r="D2" s="23" t="s">
        <v>28</v>
      </c>
      <c r="E2" s="19" t="s">
        <v>26</v>
      </c>
      <c r="F2" s="23" t="s">
        <v>27</v>
      </c>
      <c r="G2" s="49" t="s">
        <v>28</v>
      </c>
      <c r="H2" s="7" t="s">
        <v>30</v>
      </c>
    </row>
    <row r="3" spans="1:8" x14ac:dyDescent="0.25">
      <c r="A3" s="34">
        <v>2015</v>
      </c>
      <c r="B3" s="44">
        <v>40000</v>
      </c>
      <c r="C3" s="45">
        <v>103520</v>
      </c>
      <c r="D3" s="45">
        <v>0</v>
      </c>
      <c r="E3" s="44">
        <f>B3</f>
        <v>40000</v>
      </c>
      <c r="F3" s="45">
        <f t="shared" ref="F3:G3" si="0">C3</f>
        <v>103520</v>
      </c>
      <c r="G3" s="46">
        <f t="shared" si="0"/>
        <v>0</v>
      </c>
      <c r="H3" s="47">
        <f>IF(E3=0,0,AVERAGEIF(E3:E5,"&lt;&gt;0"))+IF(F3=0,0,AVERAGEIF(F3:F5,"&lt;&gt;0"))+IF(G3=0,0,AVERAGEIF(G3:G5,"&lt;&gt;0"))</f>
        <v>131242.66879999998</v>
      </c>
    </row>
    <row r="4" spans="1:8" x14ac:dyDescent="0.25">
      <c r="A4" s="34">
        <v>2014</v>
      </c>
      <c r="B4" s="44">
        <v>42500</v>
      </c>
      <c r="C4" s="45">
        <v>78400</v>
      </c>
      <c r="D4" s="45">
        <v>0</v>
      </c>
      <c r="E4" s="44">
        <f>B4*Pristalsregulering!$C$7</f>
        <v>42533.999999999993</v>
      </c>
      <c r="F4" s="45">
        <f>C4*Pristalsregulering!$C$7</f>
        <v>78462.719999999987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52000</v>
      </c>
      <c r="C5" s="45">
        <v>75200</v>
      </c>
      <c r="D5" s="45">
        <v>0</v>
      </c>
      <c r="E5" s="44">
        <f>B5*Pristalsregulering!$C$7*Pristalsregulering!$C$6</f>
        <v>52822.223999999995</v>
      </c>
      <c r="F5" s="45">
        <f>C5*Pristalsregulering!$C$7*Pristalsregulering!$C$6</f>
        <v>76389.062399999981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55</v>
      </c>
    </row>
    <row r="2" spans="1:2" ht="15.75" thickTop="1" x14ac:dyDescent="0.25">
      <c r="A2" s="31">
        <v>2015</v>
      </c>
      <c r="B2" s="52">
        <v>468669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6"/>
      <c r="B1" s="81" t="s">
        <v>73</v>
      </c>
      <c r="C1" s="81"/>
      <c r="D1" s="82"/>
      <c r="E1" s="83" t="s">
        <v>74</v>
      </c>
      <c r="F1" s="83"/>
      <c r="G1" s="83"/>
    </row>
    <row r="2" spans="1:7" s="25" customFormat="1" ht="15.75" thickTop="1" x14ac:dyDescent="0.25">
      <c r="A2" s="74" t="s">
        <v>13</v>
      </c>
      <c r="B2" s="26" t="s">
        <v>71</v>
      </c>
      <c r="C2" s="26" t="s">
        <v>1</v>
      </c>
      <c r="D2" s="31" t="s">
        <v>72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5">
        <v>2015</v>
      </c>
      <c r="B3" s="41">
        <v>34760187.566947915</v>
      </c>
      <c r="C3" s="41">
        <v>6105614.0466666678</v>
      </c>
      <c r="D3" s="43">
        <v>630666.66666666663</v>
      </c>
      <c r="E3" s="38">
        <f>B3*Pristalsregulering!C2*Pristalsregulering!C3*Pristalsregulering!C4*Pristalsregulering!C5*Pristalsregulering!C6*Pristalsregulering!C7</f>
        <v>37843380.229819067</v>
      </c>
      <c r="F3" s="38">
        <v>6270471.387534786</v>
      </c>
      <c r="G3" s="38">
        <f>D3</f>
        <v>630666.66666666663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3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8" t="s">
        <v>41</v>
      </c>
      <c r="C1" s="79"/>
      <c r="D1" s="79"/>
      <c r="E1" s="79"/>
      <c r="F1" s="80" t="s">
        <v>59</v>
      </c>
      <c r="G1" s="81"/>
      <c r="H1" s="81"/>
      <c r="I1" s="81"/>
      <c r="J1" s="84" t="s">
        <v>30</v>
      </c>
      <c r="K1" s="83"/>
      <c r="L1" s="85"/>
      <c r="M1" s="16"/>
    </row>
    <row r="2" spans="1:14" s="29" customFormat="1" ht="15.75" thickTop="1" x14ac:dyDescent="0.25">
      <c r="A2" s="22" t="s">
        <v>13</v>
      </c>
      <c r="B2" s="9" t="s">
        <v>42</v>
      </c>
      <c r="C2" s="8" t="s">
        <v>43</v>
      </c>
      <c r="D2" s="8" t="s">
        <v>44</v>
      </c>
      <c r="E2" s="54" t="s">
        <v>45</v>
      </c>
      <c r="F2" s="8" t="s">
        <v>42</v>
      </c>
      <c r="G2" s="8" t="s">
        <v>43</v>
      </c>
      <c r="H2" s="8" t="s">
        <v>44</v>
      </c>
      <c r="I2" s="54" t="s">
        <v>45</v>
      </c>
      <c r="J2" s="23" t="s">
        <v>46</v>
      </c>
      <c r="K2" s="23" t="s">
        <v>43</v>
      </c>
      <c r="L2" s="18" t="s">
        <v>77</v>
      </c>
      <c r="M2" s="7" t="s">
        <v>29</v>
      </c>
      <c r="N2" s="35"/>
    </row>
    <row r="3" spans="1:14" x14ac:dyDescent="0.25">
      <c r="A3" s="31">
        <v>2015</v>
      </c>
      <c r="B3" s="48">
        <v>127313</v>
      </c>
      <c r="C3" s="41">
        <v>1423942</v>
      </c>
      <c r="D3" s="41">
        <v>0</v>
      </c>
      <c r="E3" s="43">
        <v>0</v>
      </c>
      <c r="F3" s="41">
        <f>B3</f>
        <v>127313</v>
      </c>
      <c r="G3" s="41">
        <f>C3</f>
        <v>1423942</v>
      </c>
      <c r="H3" s="41">
        <f>D3</f>
        <v>0</v>
      </c>
      <c r="I3" s="43">
        <f>E3</f>
        <v>0</v>
      </c>
      <c r="J3" s="45">
        <f>AVERAGE(F3:F5)</f>
        <v>333403.1780066666</v>
      </c>
      <c r="K3" s="45">
        <f>G3</f>
        <v>1423942</v>
      </c>
      <c r="L3" s="46">
        <f>AVERAGE(H3:H5)+AVERAGE(I3:I5)</f>
        <v>0</v>
      </c>
      <c r="M3" s="47">
        <f>SUM(J3:L3)</f>
        <v>1757345.1780066667</v>
      </c>
      <c r="N3" s="26"/>
    </row>
    <row r="4" spans="1:14" x14ac:dyDescent="0.25">
      <c r="A4" s="31">
        <v>2014</v>
      </c>
      <c r="B4" s="48">
        <v>27531</v>
      </c>
      <c r="C4" s="41">
        <v>1302464</v>
      </c>
      <c r="D4" s="41">
        <v>0</v>
      </c>
      <c r="E4" s="43">
        <v>0</v>
      </c>
      <c r="F4" s="41">
        <f>IF(B4="","",B4*Pristalsregulering!$C$7)</f>
        <v>27553.024799999999</v>
      </c>
      <c r="G4" s="41">
        <f>IF(C4="","",C4*Pristalsregulering!$C$7)</f>
        <v>1303505.9711999998</v>
      </c>
      <c r="H4" s="41">
        <f>IF(D4="","",D4*Pristalsregulering!$C$7)</f>
        <v>0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832185</v>
      </c>
      <c r="C5" s="41">
        <v>1317740</v>
      </c>
      <c r="D5" s="41">
        <v>0</v>
      </c>
      <c r="E5" s="43">
        <v>0</v>
      </c>
      <c r="F5" s="41">
        <f>IF(B5="","",B5*Pristalsregulering!$C$7*Pristalsregulering!$C$6)</f>
        <v>845343.50921999977</v>
      </c>
      <c r="G5" s="41">
        <f>IF(C5="","",C5*Pristalsregulering!$C$7*Pristalsregulering!$C$6)</f>
        <v>1338576.1048799998</v>
      </c>
      <c r="H5" s="41">
        <f>IF(D5="","",D5*Pristalsregulering!$C$7*Pristalsregulering!$C$6)</f>
        <v>0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71" t="s">
        <v>31</v>
      </c>
      <c r="C1" s="71" t="s">
        <v>32</v>
      </c>
      <c r="D1" s="71" t="s">
        <v>33</v>
      </c>
      <c r="E1" s="71" t="s">
        <v>34</v>
      </c>
      <c r="F1" s="71" t="s">
        <v>35</v>
      </c>
      <c r="G1" s="71" t="s">
        <v>36</v>
      </c>
      <c r="H1" s="71" t="s">
        <v>37</v>
      </c>
      <c r="I1" s="71" t="s">
        <v>38</v>
      </c>
      <c r="J1" s="71" t="s">
        <v>39</v>
      </c>
      <c r="K1" s="71" t="s">
        <v>60</v>
      </c>
      <c r="L1" s="72" t="s">
        <v>40</v>
      </c>
      <c r="M1" s="17" t="s">
        <v>29</v>
      </c>
    </row>
    <row r="2" spans="1:13" ht="15.75" thickTop="1" x14ac:dyDescent="0.25">
      <c r="A2" s="34">
        <v>2015</v>
      </c>
      <c r="B2" s="45">
        <v>32523</v>
      </c>
      <c r="C2" s="45">
        <v>0</v>
      </c>
      <c r="D2" s="45">
        <v>68523</v>
      </c>
      <c r="E2" s="45">
        <v>319272</v>
      </c>
      <c r="F2" s="45">
        <v>5958663</v>
      </c>
      <c r="G2" s="45">
        <v>0</v>
      </c>
      <c r="H2" s="45">
        <v>1280040</v>
      </c>
      <c r="I2" s="45">
        <v>0</v>
      </c>
      <c r="J2" s="45"/>
      <c r="K2" s="45"/>
      <c r="L2" s="46">
        <v>0</v>
      </c>
      <c r="M2" s="47">
        <f>SUM(B2:L2)</f>
        <v>7659021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47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47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8" bestFit="1" customWidth="1"/>
    <col min="3" max="16384" width="9.140625" hidden="1"/>
  </cols>
  <sheetData>
    <row r="1" spans="1:2" x14ac:dyDescent="0.25">
      <c r="A1" s="66" t="s">
        <v>61</v>
      </c>
      <c r="B1" s="67" t="s">
        <v>62</v>
      </c>
    </row>
    <row r="2" spans="1:2" x14ac:dyDescent="0.25">
      <c r="A2" s="26" t="s">
        <v>78</v>
      </c>
      <c r="B2" s="38">
        <v>407366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2016-12-07T13:48:38Z</dcterms:modified>
</cp:coreProperties>
</file>