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9" i="7" l="1"/>
  <c r="F10" i="7"/>
  <c r="F11" i="7"/>
  <c r="F12" i="7"/>
  <c r="F13" i="7"/>
  <c r="F14" i="7"/>
  <c r="F15" i="7"/>
  <c r="E31" i="19" l="1"/>
  <c r="C36" i="19" l="1"/>
  <c r="E36" i="19" s="1"/>
  <c r="F17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4" i="2" l="1"/>
  <c r="C9" i="12" l="1"/>
  <c r="C11" i="12" s="1"/>
  <c r="C31" i="8" s="1"/>
  <c r="E31" i="8" s="1"/>
  <c r="F8" i="2" l="1"/>
  <c r="F8" i="7"/>
  <c r="F16" i="7" s="1"/>
  <c r="F15" i="2" l="1"/>
  <c r="C9" i="10" s="1"/>
  <c r="C15" i="11" l="1"/>
  <c r="C28" i="8" s="1"/>
  <c r="C14" i="4"/>
  <c r="C26" i="8" s="1"/>
  <c r="C27" i="3"/>
  <c r="C24" i="8" s="1"/>
  <c r="F18" i="7"/>
  <c r="C18" i="8" s="1"/>
  <c r="C21" i="3"/>
  <c r="C23" i="8" s="1"/>
  <c r="C10" i="3"/>
  <c r="C21" i="8" s="1"/>
  <c r="C8" i="4"/>
  <c r="C25" i="8" s="1"/>
  <c r="C10" i="10"/>
  <c r="C17" i="8" s="1"/>
  <c r="F17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<sst xmlns="http://schemas.openxmlformats.org/spreadsheetml/2006/main" count="389" uniqueCount="202">
  <si>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</si>
  <si>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</si>
  <si>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</si>
  <si>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</si>
  <si>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</si>
  <si>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</si>
  <si>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</si>
  <si>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</si>
  <si>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</si>
  <si>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</si>
  <si>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</si>
  <si>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</si>
  <si>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</si>
  <si>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</si>
  <si>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</si>
  <si>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</si>
  <si>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</si>
  <si>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</si>
  <si>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</si>
  <si>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</si>
  <si>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</si>
  <si>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</si>
  <si>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</si>
  <si>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</si>
  <si>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</si>
  <si>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</si>
  <si>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</si>
  <si>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</si>
  <si>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</si>
  <si>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</si>
  <si>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</si>
  <si>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</si>
  <si>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</si>
  <si>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</si>
  <si>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</si>
  <si>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</si>
  <si>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</si>
  <si>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</si>
  <si>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</si>
  <si>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</si>
  <si>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</si>
  <si>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</si>
  <si>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</si>
  <si>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</si>
  <si>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</si>
  <si>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</si>
  <si>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</si>
  <si>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</si>
  <si>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</si>
  <si>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</si>
  <si>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</si>
  <si>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</si>
  <si>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</si>
  <si>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</si>
  <si>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</si>
  <si>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</si>
  <si>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</si>
  <si>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</si>
  <si>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</si>
  <si>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</si>
  <si>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</si>
  <si>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</si>
  <si>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</si>
  <si>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</si>
  <si>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</si>
  <si>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</si>
  <si>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</si>
  <si>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</si>
  <si>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</si>
  <si>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</si>
  <si>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</si>
  <si>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</si>
  <si>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</si>
  <si>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</si>
  <si>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</si>
  <si>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</si>
  <si>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</si>
  <si>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</si>
  <si>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</si>
  <si>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</si>
  <si>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</si>
  <si>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</si>
  <si>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</si>
  <si>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</si>
  <si>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</si>
  <si>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</si>
  <si>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</si>
  <si>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</si>
  <si>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</si>
  <si>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</si>
  <si>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</si>
  <si>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</si>
  <si>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</si>
  <si>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</si>
  <si>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</si>
  <si>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</si>
  <si>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</si>
  <si>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</si>
  <si>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</si>
  <si>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</si>
  <si>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</si>
  <si>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</si>
  <si>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</si>
  <si>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</si>
  <si>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</si>
  <si>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</si>
  <si>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</si>
  <si>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</si>
  <si>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</si>
  <si>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</si>
  <si>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</si>
  <si>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</si>
  <si>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</si>
  <si>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</si>
  <si>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</si>
  <si>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</si>
  <si>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</si>
  <si>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</si>
  <si>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</si>
  <si>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</si>
  <si>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</si>
  <si>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</si>
  <si>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</si>
  <si>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</si>
  <si>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</si>
  <si>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</si>
  <si>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</si>
  <si>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</si>
  <si>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</si>
  <si>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</si>
  <si>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</si>
  <si>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</si>
  <si>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</si>
  <si>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</si>
  <si>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</si>
  <si>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</si>
  <si>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</si>
  <si>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</si>
  <si>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</si>
  <si>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</si>
  <si>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</si>
  <si>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</si>
  <si>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</si>
  <si>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</si>
  <si>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</si>
  <si>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</si>
  <si>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</si>
  <si>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</si>
  <si>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</si>
  <si>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</si>
  <si>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</si>
  <si>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</si>
  <si>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</si>
  <si>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</si>
  <si>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</si>
  <si>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</si>
  <si>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</si>
  <si>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</si>
  <si>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</si>
  <si>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</si>
  <si>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</si>
  <si>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</si>
  <si>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</si>
  <si>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</si>
  <si>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</si>
  <si>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</si>
  <si>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</si>
  <si>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</si>
  <si>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</si>
  <si>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</si>
  <si>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</si>
  <si>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</si>
  <si>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</si>
  <si>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</si>
  <si>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</si>
  <si>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</si>
  <si>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</si>
  <si>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</si>
  <si>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</si>
  <si>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</si>
  <si>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</si>
  <si>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</si>
  <si>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</si>
  <si>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</si>
  <si>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Ø 50mm &lt; Ledningsnet ≤ Ø110 mm</t>
  </si>
  <si>
    <t>Ø110 mm &lt; Ledningsnet ≤ Ø 250 mm</t>
  </si>
  <si>
    <t>Boring (inkl. etablering, forerør, filter og prøvepumpning)</t>
  </si>
  <si>
    <t>Pumpe inkl. stigrør og forerørsforsejlinger mv.</t>
  </si>
  <si>
    <t>Garage og rørlager</t>
  </si>
  <si>
    <t>2014</t>
  </si>
  <si>
    <t>30</t>
  </si>
  <si>
    <t>75</t>
  </si>
  <si>
    <t>Ø 250 mm &lt; Ledningsnet ≤ Ø 500mm</t>
  </si>
  <si>
    <t>Rentvandsbeholder  insitu støbt</t>
  </si>
  <si>
    <t>50</t>
  </si>
  <si>
    <t>Beluftningsanlæg, iltningstrappe, Kontruktioner</t>
  </si>
  <si>
    <t>Asfaltering</t>
  </si>
  <si>
    <t>Ledelsessystem, ISO 22000 certificering</t>
  </si>
  <si>
    <t xml:space="preserve">Selskabsskatter </t>
  </si>
  <si>
    <t xml:space="preserve">kr. </t>
  </si>
  <si>
    <t>Faxe Vandforsyning AS</t>
  </si>
  <si>
    <t>V047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</si>
</sst>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1" fillId="0" borderId="0" xfId="0" applyFont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Faxe Vandforsyning AS</v>
      </c>
      <c r="B1" s="56"/>
      <c r="C1" s="56"/>
      <c r="D1" s="56"/>
      <c r="E1" s="56"/>
    </row>
    <row r="2" spans="1:5" x14ac:dyDescent="0.25">
      <c r="A2" s="219" t="str">
        <f>'1. Forside'!A2</f>
        <v>V047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26" t="s">
        <v>197</v>
      </c>
      <c r="C7" s="51">
        <v>250000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Faxe Vandforsyning AS</v>
      </c>
      <c r="B1" s="26"/>
      <c r="C1" s="26"/>
      <c r="D1" s="26"/>
      <c r="E1" s="26"/>
    </row>
    <row r="2" spans="1:5" x14ac:dyDescent="0.25">
      <c r="A2" s="220" t="str">
        <f>'1. Forside'!A2</f>
        <v>V047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1250000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1250000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841302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932000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-90698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Faxe Vandforsyning AS</v>
      </c>
      <c r="B1" s="26"/>
      <c r="C1" s="26"/>
      <c r="D1" s="26"/>
      <c r="E1" s="26"/>
    </row>
    <row r="2" spans="1:5" x14ac:dyDescent="0.25">
      <c r="A2" s="220" t="str">
        <f>'1. Forside'!A2</f>
        <v>V047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-5681027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-2851636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-2829391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-565878.19999999995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Faxe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19682011.010100976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2768470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1343616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738658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198333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5049077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52800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52800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3551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-1113197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-1527220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-1272252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-3912669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1192759</v>
      </c>
      <c r="D27" s="79" t="s">
        <v>0</v>
      </c>
      <c r="E27" s="10">
        <f>IF(C27&lt;0,0,-C27)</f>
        <v>-1192759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18489252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18489252</v>
      </c>
      <c r="D36" s="79" t="s">
        <v>0</v>
      </c>
      <c r="E36" s="10">
        <f>-C36</f>
        <v>-18489252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1.0100975632667542E-2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Faxe Vandforsyning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V047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1" t="s">
        <v>0</v>
      </c>
      <c r="E7" s="222">
        <v>755095</v>
      </c>
      <c r="F7" s="221" t="s">
        <v>0</v>
      </c>
      <c r="G7" s="222">
        <v>3551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755095</v>
      </c>
      <c r="F8" s="221" t="s">
        <v>0</v>
      </c>
      <c r="G8" s="223">
        <v>3551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5" t="s">
        <v>0</v>
      </c>
      <c r="E11" s="55">
        <f>C11+E7-E8-E9</f>
        <v>0</v>
      </c>
      <c r="F11" s="225" t="s">
        <v>0</v>
      </c>
      <c r="G11" s="55">
        <f>E11+G7-G8-G9</f>
        <v>0</v>
      </c>
      <c r="H11" s="225" t="s">
        <v>0</v>
      </c>
      <c r="I11" s="55">
        <f>G11+I7-I8-I9</f>
        <v>0</v>
      </c>
      <c r="J11" s="225" t="s">
        <v>0</v>
      </c>
      <c r="K11" s="55">
        <f>K7-K8-K9+K10+I11</f>
        <v>0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Faxe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5937297.245775328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-22561.729533946247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-106426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5808309.5162413819</v>
      </c>
      <c r="D13" s="79" t="s">
        <v>0</v>
      </c>
      <c r="E13" s="6">
        <f>C13</f>
        <v>5808309.5162413819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2478179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investeringer'!F17</f>
        <v>1529748.7392666666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3631.2118666666793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432000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4443558.9511333331</v>
      </c>
      <c r="D19" s="79" t="s">
        <v>0</v>
      </c>
      <c r="E19" s="8">
        <f>C19</f>
        <v>4443558.9511333331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93000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9000000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102500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-186886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250000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1250000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-90698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10417916</v>
      </c>
      <c r="D29" s="79" t="s">
        <v>0</v>
      </c>
      <c r="E29" s="6">
        <f>C29</f>
        <v>10417916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-565878.19999999995</v>
      </c>
      <c r="D31" s="79" t="s">
        <v>0</v>
      </c>
      <c r="E31" s="10">
        <f>C31</f>
        <v>-565878.19999999995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1.0100975632667542E-2</v>
      </c>
      <c r="D33" s="79" t="s">
        <v>0</v>
      </c>
      <c r="E33" s="12">
        <f>C33</f>
        <v>1.0100975632667542E-2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20103906.277475692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1449389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13.870607737105562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7.6610946250286789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Faxe Vandforsyning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5937297.245775328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5937297.245775328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5937297.245775328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-22561.729533946247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Faxe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4601999.0952004567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5914735.5162413819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5937297.245775328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7">
        <v>425704.21252209099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106426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Faxe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107544812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2478179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2478179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Faxe Vandforsyning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196</v>
      </c>
      <c r="C8" s="30" t="s">
        <v>189</v>
      </c>
      <c r="D8" s="31" t="s">
        <v>190</v>
      </c>
      <c r="E8" s="32">
        <v>421559.88</v>
      </c>
      <c r="F8" s="34">
        <f t="shared" ref="F8:F14" si="0">E8/D8</f>
        <v>14051.996000000001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189</v>
      </c>
      <c r="D9" s="31" t="s">
        <v>191</v>
      </c>
      <c r="E9" s="32">
        <v>190349.51</v>
      </c>
      <c r="F9" s="34">
        <f t="shared" ref="F9:F13" si="1">E9/D9</f>
        <v>2537.9934666666668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 t="s">
        <v>189</v>
      </c>
      <c r="D10" s="31" t="s">
        <v>191</v>
      </c>
      <c r="E10" s="32">
        <v>5756886.4299999997</v>
      </c>
      <c r="F10" s="34">
        <f t="shared" si="1"/>
        <v>76758.485733333335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 t="s">
        <v>189</v>
      </c>
      <c r="D11" s="31" t="s">
        <v>194</v>
      </c>
      <c r="E11" s="32">
        <v>186644.53</v>
      </c>
      <c r="F11" s="34">
        <f t="shared" si="1"/>
        <v>3732.8906000000002</v>
      </c>
      <c r="G11" s="35" t="s">
        <v>0</v>
      </c>
      <c r="H11" s="26"/>
    </row>
    <row r="12" spans="1:8" s="148" customFormat="1" x14ac:dyDescent="0.25">
      <c r="A12" s="26"/>
      <c r="B12" s="29" t="s">
        <v>195</v>
      </c>
      <c r="C12" s="30" t="s">
        <v>189</v>
      </c>
      <c r="D12" s="31" t="s">
        <v>194</v>
      </c>
      <c r="E12" s="32">
        <v>95115.4</v>
      </c>
      <c r="F12" s="34">
        <f t="shared" si="1"/>
        <v>1902.308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189</v>
      </c>
      <c r="D13" s="31" t="s">
        <v>190</v>
      </c>
      <c r="E13" s="32">
        <v>102262.46</v>
      </c>
      <c r="F13" s="34">
        <f t="shared" si="1"/>
        <v>3408.7486666666668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 t="s">
        <v>189</v>
      </c>
      <c r="D14" s="31" t="s">
        <v>191</v>
      </c>
      <c r="E14" s="32">
        <v>21763.759999999998</v>
      </c>
      <c r="F14" s="34">
        <f t="shared" si="0"/>
        <v>290.18346666666662</v>
      </c>
      <c r="G14" s="35" t="s">
        <v>0</v>
      </c>
      <c r="H14" s="26"/>
    </row>
    <row r="15" spans="1:8" s="148" customFormat="1" x14ac:dyDescent="0.25">
      <c r="A15" s="26"/>
      <c r="B15" s="23" t="s">
        <v>71</v>
      </c>
      <c r="C15" s="158"/>
      <c r="D15" s="158"/>
      <c r="E15" s="158"/>
      <c r="F15" s="36">
        <f>SUM(F8:F14)</f>
        <v>102682.60593333334</v>
      </c>
      <c r="G15" s="37" t="s">
        <v>0</v>
      </c>
      <c r="H15" s="26"/>
    </row>
    <row r="16" spans="1:8" s="148" customFormat="1" x14ac:dyDescent="0.25">
      <c r="A16" s="26"/>
      <c r="B16" s="107" t="s">
        <v>133</v>
      </c>
      <c r="C16" s="159"/>
      <c r="D16" s="159"/>
      <c r="E16" s="159"/>
      <c r="F16" s="66">
        <v>1427066.1333333333</v>
      </c>
      <c r="G16" s="37" t="s">
        <v>0</v>
      </c>
      <c r="H16" s="26"/>
    </row>
    <row r="17" spans="1:8" s="148" customFormat="1" x14ac:dyDescent="0.25">
      <c r="A17" s="26"/>
      <c r="B17" s="39" t="s">
        <v>68</v>
      </c>
      <c r="C17" s="160"/>
      <c r="D17" s="160"/>
      <c r="E17" s="161"/>
      <c r="F17" s="38">
        <f>F15+F16</f>
        <v>1529748.7392666666</v>
      </c>
      <c r="G17" s="38" t="s">
        <v>0</v>
      </c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hidden="1" x14ac:dyDescent="0.25"/>
    <row r="22" spans="1:8" s="148" customFormat="1" hidden="1" x14ac:dyDescent="0.25"/>
    <row r="23" spans="1:8" s="148" customFormat="1" hidden="1" x14ac:dyDescent="0.25"/>
    <row r="24" spans="1:8" s="148" customFormat="1" ht="14.45" hidden="1" customHeight="1" x14ac:dyDescent="0.25"/>
    <row r="25" spans="1:8" s="148" customFormat="1" ht="14.4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Faxe Vandforsyning AS</v>
      </c>
      <c r="B1" s="162"/>
      <c r="C1" s="162"/>
      <c r="D1" s="162"/>
      <c r="E1" s="162"/>
    </row>
    <row r="2" spans="1:5" x14ac:dyDescent="0.25">
      <c r="A2" s="1" t="str">
        <f>'1. Forside'!A2</f>
        <v>V047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53334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148400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investeringer'!F15</f>
        <v>102682.60593333334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3631.2118666666793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Faxe Vandforsyning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75</v>
      </c>
      <c r="E8" s="32">
        <v>1000000</v>
      </c>
      <c r="F8" s="45">
        <f>E8/D8</f>
        <v>13333.333333333334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75</v>
      </c>
      <c r="E9" s="32">
        <v>5000000</v>
      </c>
      <c r="F9" s="45">
        <f t="shared" ref="F9:F15" si="0">E9/D9</f>
        <v>66666.666666666672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30</v>
      </c>
      <c r="E10" s="32">
        <v>2000000</v>
      </c>
      <c r="F10" s="45">
        <f t="shared" si="0"/>
        <v>66666.666666666672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>
        <v>2015</v>
      </c>
      <c r="D11" s="31">
        <v>15</v>
      </c>
      <c r="E11" s="32">
        <v>1500000</v>
      </c>
      <c r="F11" s="45">
        <f t="shared" si="0"/>
        <v>100000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>
        <v>2015</v>
      </c>
      <c r="D12" s="31">
        <v>75</v>
      </c>
      <c r="E12" s="32">
        <v>400000</v>
      </c>
      <c r="F12" s="45">
        <f t="shared" si="0"/>
        <v>5333.333333333333</v>
      </c>
      <c r="G12" s="35" t="s">
        <v>0</v>
      </c>
      <c r="H12" s="26"/>
    </row>
    <row r="13" spans="1:8" s="148" customFormat="1" x14ac:dyDescent="0.25">
      <c r="A13" s="26"/>
      <c r="B13" s="29" t="s">
        <v>184</v>
      </c>
      <c r="C13" s="30">
        <v>2016</v>
      </c>
      <c r="D13" s="31">
        <v>75</v>
      </c>
      <c r="E13" s="32">
        <v>1000000</v>
      </c>
      <c r="F13" s="45">
        <f t="shared" si="0"/>
        <v>13333.333333333334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2016</v>
      </c>
      <c r="D14" s="31">
        <v>75</v>
      </c>
      <c r="E14" s="32">
        <v>5000000</v>
      </c>
      <c r="F14" s="45">
        <f t="shared" si="0"/>
        <v>66666.666666666672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2016</v>
      </c>
      <c r="D15" s="31">
        <v>15</v>
      </c>
      <c r="E15" s="32">
        <v>1500000</v>
      </c>
      <c r="F15" s="45">
        <f t="shared" si="0"/>
        <v>100000</v>
      </c>
      <c r="G15" s="35" t="s">
        <v>0</v>
      </c>
      <c r="H15" s="26"/>
    </row>
    <row r="16" spans="1:8" s="148" customFormat="1" x14ac:dyDescent="0.25">
      <c r="A16" s="26"/>
      <c r="B16" s="109" t="s">
        <v>72</v>
      </c>
      <c r="C16" s="165"/>
      <c r="D16" s="166"/>
      <c r="E16" s="167"/>
      <c r="F16" s="46">
        <f>SUMIF(C8:C15,"2015",F8:F15)</f>
        <v>252000.00000000003</v>
      </c>
      <c r="G16" s="47" t="s">
        <v>0</v>
      </c>
      <c r="H16" s="26"/>
    </row>
    <row r="17" spans="1:8" s="148" customFormat="1" x14ac:dyDescent="0.25">
      <c r="A17" s="26"/>
      <c r="B17" s="107" t="s">
        <v>131</v>
      </c>
      <c r="C17" s="168"/>
      <c r="D17" s="169"/>
      <c r="E17" s="170"/>
      <c r="F17" s="46">
        <f>SUMIF(C8:C15,"2016",F8:F15)</f>
        <v>180000</v>
      </c>
      <c r="G17" s="47" t="s">
        <v>0</v>
      </c>
      <c r="H17" s="26"/>
    </row>
    <row r="18" spans="1:8" s="148" customFormat="1" x14ac:dyDescent="0.25">
      <c r="A18" s="26"/>
      <c r="B18" s="50" t="s">
        <v>36</v>
      </c>
      <c r="C18" s="171"/>
      <c r="D18" s="172"/>
      <c r="E18" s="172"/>
      <c r="F18" s="48">
        <f>F16+F17</f>
        <v>432000</v>
      </c>
      <c r="G18" s="49" t="s">
        <v>0</v>
      </c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173"/>
      <c r="G21" s="173"/>
      <c r="H21" s="26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t="12" hidden="1" customHeight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Faxe Vandforsyning AS</v>
      </c>
      <c r="B1" s="56"/>
      <c r="C1" s="56"/>
      <c r="D1" s="176"/>
      <c r="E1" s="56"/>
    </row>
    <row r="2" spans="1:5" x14ac:dyDescent="0.25">
      <c r="A2" s="219" t="str">
        <f>'1. Forside'!A2</f>
        <v>V047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198</v>
      </c>
      <c r="C8" s="51">
        <v>20000</v>
      </c>
      <c r="D8" s="181" t="s">
        <v>199</v>
      </c>
      <c r="E8" s="56"/>
    </row>
    <row r="9" spans="1:5" x14ac:dyDescent="0.25">
      <c r="A9" s="56"/>
      <c r="B9" s="206" t="s">
        <v>183</v>
      </c>
      <c r="C9" s="51">
        <v>40000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93000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9000000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9000000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80000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22500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102500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9070614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9257500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-186886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2015-09-25T12:34:46Z</dcterms:modified>
</cp:coreProperties>
</file>