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90" yWindow="330" windowWidth="25485" windowHeight="13680" firstSheet="1" activeTab="4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0" i="6"/>
  <c r="E12" i="6"/>
  <c r="E15" i="5"/>
  <c r="E13" i="5"/>
  <c r="E12" i="5"/>
  <c r="E11" i="5"/>
  <c r="E10" i="5"/>
  <c r="E15" i="4"/>
  <c r="E13" i="4"/>
  <c r="E12" i="4"/>
  <c r="E11" i="4"/>
  <c r="E10" i="4"/>
  <c r="E9" i="4"/>
  <c r="E12" i="2"/>
  <c r="G11" i="9"/>
  <c r="G10" i="9"/>
  <c r="G36" i="13"/>
  <c r="E11" i="6" l="1"/>
  <c r="E13" i="6"/>
  <c r="G13" i="6" s="1"/>
  <c r="G16" i="6" s="1"/>
  <c r="E35" i="13"/>
  <c r="G35" i="13" s="1"/>
  <c r="E27" i="13"/>
  <c r="E19" i="13"/>
  <c r="E15" i="13"/>
  <c r="G11" i="12"/>
  <c r="E16" i="2" s="1"/>
  <c r="G29" i="12"/>
  <c r="E19" i="2" s="1"/>
  <c r="G23" i="12"/>
  <c r="E18" i="2" s="1"/>
  <c r="G17" i="12"/>
  <c r="E17" i="2" s="1"/>
  <c r="F11" i="11"/>
  <c r="F12" i="11"/>
  <c r="F13" i="11"/>
  <c r="F14" i="11"/>
  <c r="F15" i="11"/>
  <c r="F10" i="11"/>
  <c r="G13" i="10"/>
  <c r="E14" i="2" s="1"/>
  <c r="G14" i="2" s="1"/>
  <c r="G12" i="7"/>
  <c r="G15" i="6"/>
  <c r="G13" i="5"/>
  <c r="G15" i="5"/>
  <c r="G15" i="4"/>
  <c r="G13" i="4"/>
  <c r="G16" i="4" s="1"/>
  <c r="E23" i="2"/>
  <c r="G23" i="2" s="1"/>
  <c r="E10" i="2"/>
  <c r="G16" i="5" l="1"/>
  <c r="E28" i="13"/>
  <c r="G28" i="13" s="1"/>
  <c r="F16" i="11"/>
  <c r="G35" i="12" s="1"/>
  <c r="G36" i="12"/>
  <c r="E20" i="2" s="1"/>
  <c r="E21" i="2" s="1"/>
  <c r="G21" i="2" s="1"/>
  <c r="G9" i="9"/>
  <c r="E11" i="2" s="1"/>
  <c r="E9" i="2"/>
  <c r="G12" i="2" l="1"/>
  <c r="G24" i="2" s="1"/>
</calcChain>
</file>

<file path=xl/sharedStrings.xml><?xml version="1.0" encoding="utf-8"?>
<sst xmlns="http://schemas.openxmlformats.org/spreadsheetml/2006/main" count="263" uniqueCount="129">
  <si>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</si>
  <si>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</si>
  <si>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</si>
  <si>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</si>
  <si>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</si>
  <si>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</si>
  <si>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</si>
  <si>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</si>
  <si>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</si>
  <si>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</si>
  <si>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</si>
  <si>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</si>
  <si>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</si>
  <si>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</si>
  <si>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</si>
  <si>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</si>
  <si>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</si>
  <si>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</si>
  <si>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</si>
  <si>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</si>
  <si>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</si>
  <si>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</si>
  <si>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</si>
  <si>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</si>
  <si>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</si>
  <si>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</si>
  <si>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</si>
  <si>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</si>
  <si>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</si>
  <si>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</si>
  <si>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</si>
  <si>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</si>
  <si>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</si>
  <si>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</si>
  <si>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</si>
  <si>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</si>
  <si>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</si>
  <si>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</si>
  <si>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</si>
  <si>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</si>
  <si>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</si>
  <si>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</si>
  <si>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</si>
  <si>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</si>
  <si>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</si>
  <si>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</si>
  <si>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</si>
  <si>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</si>
  <si>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</si>
  <si>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</si>
  <si>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</si>
  <si>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</si>
  <si>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</si>
  <si>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</si>
  <si>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</si>
  <si>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</si>
  <si>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</si>
  <si>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</si>
  <si>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</si>
  <si>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</si>
  <si>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</si>
  <si>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</si>
  <si>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</si>
  <si>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</si>
  <si>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</si>
  <si>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</si>
  <si>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</si>
  <si>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</si>
  <si>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</si>
  <si>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</si>
  <si>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</si>
  <si>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</si>
  <si>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</si>
  <si>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</si>
  <si>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</si>
  <si>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</si>
  <si>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</si>
  <si>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</si>
  <si>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</si>
  <si>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</si>
  <si>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</si>
  <si>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</si>
  <si>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</si>
  <si>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</si>
  <si>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</si>
  <si>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</si>
  <si>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</si>
  <si>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</si>
  <si>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</si>
  <si>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</si>
  <si>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</si>
  <si>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</si>
  <si>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</si>
  <si>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</si>
  <si>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</si>
  <si>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</si>
  <si>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</si>
  <si>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</si>
  <si>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</si>
  <si>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</si>
  <si>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</si>
  <si>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</si>
  <si>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</si>
  <si>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</si>
  <si>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</si>
  <si>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</si>
  <si>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</si>
  <si>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</si>
  <si>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</si>
  <si>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</si>
  <si>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</si>
  <si>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</si>
  <si>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</si>
  <si>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</si>
  <si>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</si>
  <si>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Ledningsnet ≤ Ø 200 mm </t>
  </si>
  <si>
    <t>Pavillon/skurvogn</t>
  </si>
  <si>
    <t>Jordbassin Klasse B</t>
  </si>
  <si>
    <t>Pumpestationer i brønde (&lt; 6,25 m2), Konstruktioner</t>
  </si>
  <si>
    <t>Pumpestationer i brønde (&lt; 6,25 m2), SRO</t>
  </si>
  <si>
    <t>Pumpestationer i brønde (&lt; 6,25 m2), Mek/EL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</si>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</sst>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114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95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82</v>
      </c>
      <c r="C9" s="78"/>
      <c r="D9" s="78"/>
      <c r="E9" s="78"/>
      <c r="F9" s="79"/>
      <c r="G9" s="36">
        <v>176867</v>
      </c>
      <c r="H9" s="10" t="s">
        <v>4</v>
      </c>
      <c r="I9" s="1"/>
    </row>
    <row r="10" spans="1:9" x14ac:dyDescent="0.25">
      <c r="A10" s="1"/>
      <c r="B10" s="77" t="s">
        <v>83</v>
      </c>
      <c r="C10" s="78"/>
      <c r="D10" s="78"/>
      <c r="E10" s="78"/>
      <c r="F10" s="79"/>
      <c r="G10" s="36">
        <v>308108</v>
      </c>
      <c r="H10" s="10" t="s">
        <v>4</v>
      </c>
      <c r="I10" s="1"/>
    </row>
    <row r="11" spans="1:9" x14ac:dyDescent="0.25">
      <c r="A11" s="1"/>
      <c r="B11" s="73" t="s">
        <v>84</v>
      </c>
      <c r="C11" s="74"/>
      <c r="D11" s="74"/>
      <c r="E11" s="74"/>
      <c r="F11" s="75"/>
      <c r="G11" s="34">
        <f>G9-G10</f>
        <v>-131241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85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86</v>
      </c>
      <c r="C15" s="78"/>
      <c r="D15" s="78"/>
      <c r="E15" s="78"/>
      <c r="F15" s="79"/>
      <c r="G15" s="36">
        <v>1619525</v>
      </c>
      <c r="H15" s="10" t="s">
        <v>4</v>
      </c>
      <c r="I15" s="1"/>
    </row>
    <row r="16" spans="1:9" x14ac:dyDescent="0.25">
      <c r="A16" s="1"/>
      <c r="B16" s="77" t="s">
        <v>87</v>
      </c>
      <c r="C16" s="78"/>
      <c r="D16" s="78"/>
      <c r="E16" s="78"/>
      <c r="F16" s="79"/>
      <c r="G16" s="36">
        <v>998811</v>
      </c>
      <c r="H16" s="10" t="s">
        <v>4</v>
      </c>
      <c r="I16" s="1"/>
    </row>
    <row r="17" spans="1:9" x14ac:dyDescent="0.25">
      <c r="A17" s="1"/>
      <c r="B17" s="73" t="s">
        <v>88</v>
      </c>
      <c r="C17" s="74"/>
      <c r="D17" s="74"/>
      <c r="E17" s="74"/>
      <c r="F17" s="75"/>
      <c r="G17" s="34">
        <f>G15-G16</f>
        <v>620714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96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97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99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98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8" t="s">
        <v>89</v>
      </c>
      <c r="C26" s="89"/>
      <c r="D26" s="89"/>
      <c r="E26" s="89"/>
      <c r="F26" s="89"/>
      <c r="G26" s="89"/>
      <c r="H26" s="90"/>
      <c r="I26" s="1"/>
    </row>
    <row r="27" spans="1:9" ht="29.25" customHeight="1" x14ac:dyDescent="0.25">
      <c r="A27" s="1"/>
      <c r="B27" s="67" t="s">
        <v>100</v>
      </c>
      <c r="C27" s="68"/>
      <c r="D27" s="68"/>
      <c r="E27" s="68"/>
      <c r="F27" s="69"/>
      <c r="G27" s="36">
        <v>0</v>
      </c>
      <c r="H27" s="10" t="s">
        <v>4</v>
      </c>
      <c r="I27" s="1"/>
    </row>
    <row r="28" spans="1:9" x14ac:dyDescent="0.25">
      <c r="A28" s="1"/>
      <c r="B28" s="77" t="s">
        <v>101</v>
      </c>
      <c r="C28" s="78"/>
      <c r="D28" s="78"/>
      <c r="E28" s="78"/>
      <c r="F28" s="79"/>
      <c r="G28" s="36">
        <v>0</v>
      </c>
      <c r="H28" s="10" t="s">
        <v>4</v>
      </c>
      <c r="I28" s="1"/>
    </row>
    <row r="29" spans="1:9" ht="30" customHeight="1" x14ac:dyDescent="0.25">
      <c r="A29" s="1"/>
      <c r="B29" s="88" t="s">
        <v>102</v>
      </c>
      <c r="C29" s="89"/>
      <c r="D29" s="89"/>
      <c r="E29" s="89"/>
      <c r="F29" s="90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8" t="s">
        <v>90</v>
      </c>
      <c r="C32" s="89"/>
      <c r="D32" s="89"/>
      <c r="E32" s="89"/>
      <c r="F32" s="89"/>
      <c r="G32" s="89"/>
      <c r="H32" s="90"/>
      <c r="I32" s="1"/>
    </row>
    <row r="33" spans="1:9" x14ac:dyDescent="0.25">
      <c r="A33" s="1"/>
      <c r="B33" s="77" t="s">
        <v>91</v>
      </c>
      <c r="C33" s="78"/>
      <c r="D33" s="78"/>
      <c r="E33" s="78"/>
      <c r="F33" s="79"/>
      <c r="G33" s="36">
        <v>104538</v>
      </c>
      <c r="H33" s="10" t="s">
        <v>4</v>
      </c>
      <c r="I33" s="1"/>
    </row>
    <row r="34" spans="1:9" x14ac:dyDescent="0.25">
      <c r="A34" s="1"/>
      <c r="B34" s="77" t="s">
        <v>92</v>
      </c>
      <c r="C34" s="78"/>
      <c r="D34" s="78"/>
      <c r="E34" s="78"/>
      <c r="F34" s="79"/>
      <c r="G34" s="36">
        <v>392513</v>
      </c>
      <c r="H34" s="10" t="s">
        <v>4</v>
      </c>
      <c r="I34" s="1"/>
    </row>
    <row r="35" spans="1:9" x14ac:dyDescent="0.25">
      <c r="A35" s="1"/>
      <c r="B35" s="77" t="s">
        <v>93</v>
      </c>
      <c r="C35" s="78"/>
      <c r="D35" s="78"/>
      <c r="E35" s="78"/>
      <c r="F35" s="79"/>
      <c r="G35" s="20">
        <f>'Fane 6. Gen. inv. i 2015'!F16</f>
        <v>138866.75333333336</v>
      </c>
      <c r="H35" s="10" t="s">
        <v>4</v>
      </c>
      <c r="I35" s="1"/>
    </row>
    <row r="36" spans="1:9" x14ac:dyDescent="0.25">
      <c r="A36" s="1"/>
      <c r="B36" s="73" t="s">
        <v>90</v>
      </c>
      <c r="C36" s="74"/>
      <c r="D36" s="74"/>
      <c r="E36" s="74"/>
      <c r="F36" s="75"/>
      <c r="G36" s="34">
        <f>G35-G33+G35-G34</f>
        <v>-219317.49333333329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50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52</v>
      </c>
      <c r="C9" s="82"/>
      <c r="D9" s="82"/>
      <c r="E9" s="82"/>
      <c r="F9" s="83"/>
      <c r="G9" s="37">
        <v>11642008</v>
      </c>
      <c r="H9" s="16" t="s">
        <v>4</v>
      </c>
      <c r="I9" s="1"/>
    </row>
    <row r="10" spans="1:9" x14ac:dyDescent="0.25">
      <c r="A10" s="1"/>
      <c r="B10" s="73" t="s">
        <v>53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54</v>
      </c>
      <c r="C11" s="78"/>
      <c r="D11" s="79"/>
      <c r="E11" s="36">
        <v>6445419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55</v>
      </c>
      <c r="C12" s="78"/>
      <c r="D12" s="79"/>
      <c r="E12" s="36">
        <v>331431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56</v>
      </c>
      <c r="C13" s="78"/>
      <c r="D13" s="79"/>
      <c r="E13" s="36">
        <v>-143045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57</v>
      </c>
      <c r="C14" s="78"/>
      <c r="D14" s="79"/>
      <c r="E14" s="36">
        <v>307205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58</v>
      </c>
      <c r="C15" s="82"/>
      <c r="D15" s="83"/>
      <c r="E15" s="33">
        <f>SUM(E11:E14)</f>
        <v>6941010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59</v>
      </c>
      <c r="C16" s="78"/>
      <c r="D16" s="79"/>
      <c r="E16" s="36">
        <v>2916869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60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61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62</v>
      </c>
      <c r="C19" s="82"/>
      <c r="D19" s="83"/>
      <c r="E19" s="33">
        <f>SUM(E16:E18)</f>
        <v>2916869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63</v>
      </c>
      <c r="C20" s="68"/>
      <c r="D20" s="69"/>
      <c r="E20" s="36">
        <v>-1499101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64</v>
      </c>
      <c r="C21" s="68"/>
      <c r="D21" s="69"/>
      <c r="E21" s="36">
        <v>-6287474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65</v>
      </c>
      <c r="C22" s="78"/>
      <c r="D22" s="79"/>
      <c r="E22" s="36">
        <v>-1206623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66</v>
      </c>
      <c r="C23" s="78"/>
      <c r="D23" s="79"/>
      <c r="E23" s="36">
        <v>-27639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67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68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69</v>
      </c>
      <c r="C26" s="68"/>
      <c r="D26" s="69"/>
      <c r="E26" s="36">
        <v>-17864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70</v>
      </c>
      <c r="C27" s="82"/>
      <c r="D27" s="83"/>
      <c r="E27" s="33">
        <f>SUM(E20:E26)</f>
        <v>-9038701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71</v>
      </c>
      <c r="C28" s="82"/>
      <c r="D28" s="83"/>
      <c r="E28" s="33">
        <f>E15+E19+E27</f>
        <v>819178</v>
      </c>
      <c r="F28" s="16" t="s">
        <v>4</v>
      </c>
      <c r="G28" s="31">
        <f>IF(E28&lt;0,0,-E28)</f>
        <v>-819178</v>
      </c>
      <c r="H28" s="16" t="s">
        <v>4</v>
      </c>
      <c r="I28" s="1"/>
    </row>
    <row r="29" spans="1:9" x14ac:dyDescent="0.25">
      <c r="A29" s="1"/>
      <c r="B29" s="73" t="s">
        <v>72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72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121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122</v>
      </c>
      <c r="C32" s="68"/>
      <c r="D32" s="69"/>
      <c r="E32" s="36">
        <v>10195698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73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74</v>
      </c>
      <c r="C34" s="68"/>
      <c r="D34" s="69"/>
      <c r="E34" s="36">
        <v>796939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75</v>
      </c>
      <c r="C35" s="82"/>
      <c r="D35" s="83"/>
      <c r="E35" s="33">
        <f>SUM(E32:E34)</f>
        <v>10992637</v>
      </c>
      <c r="F35" s="16" t="s">
        <v>4</v>
      </c>
      <c r="G35" s="33">
        <f>-E35</f>
        <v>-10992637</v>
      </c>
      <c r="H35" s="16" t="s">
        <v>4</v>
      </c>
      <c r="I35" s="1"/>
    </row>
    <row r="36" spans="1:9" x14ac:dyDescent="0.25">
      <c r="A36" s="1"/>
      <c r="B36" s="73" t="s">
        <v>51</v>
      </c>
      <c r="C36" s="74"/>
      <c r="D36" s="74"/>
      <c r="E36" s="74"/>
      <c r="F36" s="75"/>
      <c r="G36" s="34">
        <f>$G$9+$G$28+$G$30+$G$35</f>
        <v>-169807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>
      <selection activeCell="E9" sqref="E9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14738634.202431865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20">
        <f>'Fane 3. Grundlag'!G11</f>
        <v>147218.70786297999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248054.06340767106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44</v>
      </c>
      <c r="C12" s="82"/>
      <c r="D12" s="83"/>
      <c r="E12" s="33">
        <f>$E$9-$E$11</f>
        <v>14490580.139024194</v>
      </c>
      <c r="F12" s="17" t="s">
        <v>4</v>
      </c>
      <c r="G12" s="33">
        <f>E12</f>
        <v>14490580.139024194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111</v>
      </c>
      <c r="C14" s="71"/>
      <c r="D14" s="72"/>
      <c r="E14" s="33">
        <f>'Fane 5. Hist. over el. underdæk'!G13</f>
        <v>75268.5</v>
      </c>
      <c r="F14" s="17" t="s">
        <v>4</v>
      </c>
      <c r="G14" s="33">
        <f>E14</f>
        <v>75268.5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-131241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620714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104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67" t="s">
        <v>37</v>
      </c>
      <c r="C19" s="68"/>
      <c r="D19" s="69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67" t="s">
        <v>38</v>
      </c>
      <c r="C20" s="68"/>
      <c r="D20" s="69"/>
      <c r="E20" s="20">
        <f>'Fane 7. Korrektion af PL2015'!G36</f>
        <v>-219317.49333333329</v>
      </c>
      <c r="F20" s="7" t="s">
        <v>4</v>
      </c>
      <c r="G20" s="14"/>
      <c r="H20" s="15"/>
      <c r="I20" s="1"/>
    </row>
    <row r="21" spans="1:9" x14ac:dyDescent="0.25">
      <c r="A21" s="1"/>
      <c r="B21" s="70" t="s">
        <v>39</v>
      </c>
      <c r="C21" s="71"/>
      <c r="D21" s="72"/>
      <c r="E21" s="33">
        <f>SUM(E16:E20)</f>
        <v>270155.50666666671</v>
      </c>
      <c r="F21" s="17" t="s">
        <v>4</v>
      </c>
      <c r="G21" s="33">
        <f>E21</f>
        <v>270155.50666666671</v>
      </c>
      <c r="H21" s="17" t="s">
        <v>4</v>
      </c>
      <c r="I21" s="1"/>
    </row>
    <row r="22" spans="1:9" x14ac:dyDescent="0.25">
      <c r="A22" s="1"/>
      <c r="B22" s="73" t="s">
        <v>33</v>
      </c>
      <c r="C22" s="74"/>
      <c r="D22" s="74"/>
      <c r="E22" s="74"/>
      <c r="F22" s="74"/>
      <c r="G22" s="74"/>
      <c r="H22" s="75"/>
      <c r="I22" s="1"/>
    </row>
    <row r="23" spans="1:9" x14ac:dyDescent="0.25">
      <c r="A23" s="1"/>
      <c r="B23" s="70" t="s">
        <v>34</v>
      </c>
      <c r="C23" s="71"/>
      <c r="D23" s="72"/>
      <c r="E23" s="33">
        <f>'Fane 8. Kontrol af PL2015'!G36</f>
        <v>-169807</v>
      </c>
      <c r="F23" s="17" t="s">
        <v>4</v>
      </c>
      <c r="G23" s="33">
        <f>E23</f>
        <v>-169807</v>
      </c>
      <c r="H23" s="17" t="s">
        <v>4</v>
      </c>
      <c r="I23" s="1"/>
    </row>
    <row r="24" spans="1:9" x14ac:dyDescent="0.25">
      <c r="A24" s="1"/>
      <c r="B24" s="73" t="s">
        <v>40</v>
      </c>
      <c r="C24" s="74"/>
      <c r="D24" s="74"/>
      <c r="E24" s="74"/>
      <c r="F24" s="75"/>
      <c r="G24" s="34">
        <f>G12+G14+G21+G23</f>
        <v>14666197.14569086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3:H13"/>
    <mergeCell ref="B8:H8"/>
    <mergeCell ref="B16:D16"/>
    <mergeCell ref="B21:D21"/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E9" sqref="E9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41</v>
      </c>
      <c r="C9" s="68"/>
      <c r="D9" s="69"/>
      <c r="E9" s="35">
        <f>'Fane 2.1. Økonomisk ramme 2017'!$E$9-'Fane 2.1. Økonomisk ramme 2017'!$E$11</f>
        <v>14490580.139024194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2.1. Økonomisk ramme 2017'!$E$10</f>
        <v>147218.70786297999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184030.36776560725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246933.87606272832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14427676.630727073</v>
      </c>
      <c r="F13" s="17" t="s">
        <v>4</v>
      </c>
      <c r="G13" s="33">
        <f>E13</f>
        <v>14427676.630727073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111</v>
      </c>
      <c r="C15" s="71"/>
      <c r="D15" s="72"/>
      <c r="E15" s="37">
        <f>IF('Fane 5. Hist. over el. underdæk'!$G$12&gt;1,'Fane 5. Hist. over el. underdæk'!$G$13,0)</f>
        <v>75268.5</v>
      </c>
      <c r="F15" s="17" t="s">
        <v>4</v>
      </c>
      <c r="G15" s="33">
        <f>E15</f>
        <v>75268.5</v>
      </c>
      <c r="H15" s="17" t="s">
        <v>4</v>
      </c>
      <c r="I15" s="1"/>
    </row>
    <row r="16" spans="1:9" x14ac:dyDescent="0.25">
      <c r="A16" s="1"/>
      <c r="B16" s="73" t="s">
        <v>43</v>
      </c>
      <c r="C16" s="74"/>
      <c r="D16" s="74"/>
      <c r="E16" s="74"/>
      <c r="F16" s="75"/>
      <c r="G16" s="34">
        <f>G13+G15</f>
        <v>14502945.130727073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45</v>
      </c>
      <c r="C9" s="68"/>
      <c r="D9" s="69"/>
      <c r="E9" s="35">
        <v>14419523.401923245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2.2. Økonomisk ramme 2018'!$E$10*1.0127</f>
        <v>149088.38545283984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183127.9472044252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245678.38220005282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14356972.966927618</v>
      </c>
      <c r="F13" s="17" t="s">
        <v>4</v>
      </c>
      <c r="G13" s="33">
        <f>E13</f>
        <v>14356972.966927618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111</v>
      </c>
      <c r="C15" s="71"/>
      <c r="D15" s="72"/>
      <c r="E15" s="37">
        <f>IF('Fane 5. Hist. over el. underdæk'!$G$12&gt;2,'Fane 5. Hist. over el. underdæk'!$G$13,0)</f>
        <v>75268.5</v>
      </c>
      <c r="F15" s="17" t="s">
        <v>4</v>
      </c>
      <c r="G15" s="33">
        <f>E15</f>
        <v>75268.5</v>
      </c>
      <c r="H15" s="17" t="s">
        <v>4</v>
      </c>
      <c r="I15" s="1"/>
    </row>
    <row r="16" spans="1:9" x14ac:dyDescent="0.25">
      <c r="A16" s="1"/>
      <c r="B16" s="73" t="s">
        <v>46</v>
      </c>
      <c r="C16" s="74"/>
      <c r="D16" s="74"/>
      <c r="E16" s="74"/>
      <c r="F16" s="75"/>
      <c r="G16" s="34">
        <f>G13+G15</f>
        <v>14432241.466927618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tabSelected="1"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47</v>
      </c>
      <c r="C9" s="68"/>
      <c r="D9" s="69"/>
      <c r="E9" s="35">
        <v>14340636.878453568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2.3. Økonomisk ramme 2019'!$E$10*1.0127</f>
        <v>150981.80794809089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182126.0883563603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244287.68272831524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14278475.284081614</v>
      </c>
      <c r="F13" s="17" t="s">
        <v>4</v>
      </c>
      <c r="G13" s="33">
        <f>E13</f>
        <v>14278475.284081614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111</v>
      </c>
      <c r="C15" s="71"/>
      <c r="D15" s="72"/>
      <c r="E15" s="37">
        <f>IF('Fane 5. Hist. over el. underdæk'!$G$12&gt;3,'Fane 5. Hist. over el. underdæk'!$G$13,0)</f>
        <v>75268.5</v>
      </c>
      <c r="F15" s="17" t="s">
        <v>4</v>
      </c>
      <c r="G15" s="33">
        <f>E15</f>
        <v>75268.5</v>
      </c>
      <c r="H15" s="17" t="s">
        <v>4</v>
      </c>
      <c r="I15" s="1"/>
    </row>
    <row r="16" spans="1:9" x14ac:dyDescent="0.25">
      <c r="A16" s="1"/>
      <c r="B16" s="73" t="s">
        <v>48</v>
      </c>
      <c r="C16" s="74"/>
      <c r="D16" s="74"/>
      <c r="E16" s="74"/>
      <c r="F16" s="75"/>
      <c r="G16" s="34">
        <f>G13+G15</f>
        <v>14353743.784081614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105</v>
      </c>
      <c r="C9" s="78"/>
      <c r="D9" s="78"/>
      <c r="E9" s="78"/>
      <c r="F9" s="79"/>
      <c r="G9" s="36">
        <v>5193065.0570655148</v>
      </c>
      <c r="H9" s="10" t="s">
        <v>4</v>
      </c>
      <c r="I9" s="1"/>
    </row>
    <row r="10" spans="1:9" x14ac:dyDescent="0.25">
      <c r="A10" s="1"/>
      <c r="B10" s="77" t="s">
        <v>106</v>
      </c>
      <c r="C10" s="78"/>
      <c r="D10" s="78"/>
      <c r="E10" s="78"/>
      <c r="F10" s="79"/>
      <c r="G10" s="36">
        <v>9398350.4375033695</v>
      </c>
      <c r="H10" s="10" t="s">
        <v>4</v>
      </c>
      <c r="I10" s="1"/>
    </row>
    <row r="11" spans="1:9" x14ac:dyDescent="0.25">
      <c r="A11" s="1"/>
      <c r="B11" s="77" t="s">
        <v>107</v>
      </c>
      <c r="C11" s="78"/>
      <c r="D11" s="78"/>
      <c r="E11" s="78"/>
      <c r="F11" s="79"/>
      <c r="G11" s="36">
        <v>147218.70786297999</v>
      </c>
      <c r="H11" s="10" t="s">
        <v>4</v>
      </c>
      <c r="I11" s="1"/>
    </row>
    <row r="12" spans="1:9" x14ac:dyDescent="0.25">
      <c r="A12" s="1"/>
      <c r="B12" s="73" t="s">
        <v>49</v>
      </c>
      <c r="C12" s="74"/>
      <c r="D12" s="74"/>
      <c r="E12" s="74"/>
      <c r="F12" s="75"/>
      <c r="G12" s="34">
        <f>SUM(G9:G11)</f>
        <v>14738634.202431865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113</v>
      </c>
      <c r="C9" s="78"/>
      <c r="D9" s="78"/>
      <c r="E9" s="78"/>
      <c r="F9" s="79"/>
      <c r="G9" s="20">
        <f>'Fane 3. Grundlag'!G12-'Fane 3. Grundlag'!G11</f>
        <v>14591415.494568884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76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248054.06340767106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78</v>
      </c>
      <c r="C9" s="78"/>
      <c r="D9" s="78"/>
      <c r="E9" s="78"/>
      <c r="F9" s="79"/>
      <c r="G9" s="36">
        <v>732196</v>
      </c>
      <c r="H9" s="10" t="s">
        <v>4</v>
      </c>
      <c r="I9" s="1"/>
    </row>
    <row r="10" spans="1:9" x14ac:dyDescent="0.25">
      <c r="A10" s="1"/>
      <c r="B10" s="77" t="s">
        <v>79</v>
      </c>
      <c r="C10" s="78"/>
      <c r="D10" s="78"/>
      <c r="E10" s="78"/>
      <c r="F10" s="79"/>
      <c r="G10" s="36">
        <v>431122</v>
      </c>
      <c r="H10" s="10" t="s">
        <v>4</v>
      </c>
      <c r="I10" s="1"/>
    </row>
    <row r="11" spans="1:9" x14ac:dyDescent="0.25">
      <c r="A11" s="1"/>
      <c r="B11" s="84" t="s">
        <v>94</v>
      </c>
      <c r="C11" s="85"/>
      <c r="D11" s="85"/>
      <c r="E11" s="85"/>
      <c r="F11" s="86"/>
      <c r="G11" s="38">
        <v>301074</v>
      </c>
      <c r="H11" s="23" t="s">
        <v>4</v>
      </c>
      <c r="I11" s="1"/>
    </row>
    <row r="12" spans="1:9" x14ac:dyDescent="0.25">
      <c r="A12" s="1"/>
      <c r="B12" s="77" t="s">
        <v>80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77</v>
      </c>
      <c r="C13" s="74"/>
      <c r="D13" s="74"/>
      <c r="E13" s="74"/>
      <c r="F13" s="75"/>
      <c r="G13" s="34">
        <f>G11/G12</f>
        <v>75268.5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RowHeight="15" x14ac:dyDescent="0.25"/>
  <cols>
    <col min="1" max="1" width="5.140625" customWidth="1"/>
    <col min="2" max="2" width="37.570312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7" t="s">
        <v>3</v>
      </c>
      <c r="G9" s="87"/>
      <c r="H9" s="1"/>
    </row>
    <row r="10" spans="1:8" x14ac:dyDescent="0.25">
      <c r="A10" s="1"/>
      <c r="B10" s="41" t="s">
        <v>115</v>
      </c>
      <c r="C10" s="39">
        <v>2015</v>
      </c>
      <c r="D10" s="39">
        <v>75</v>
      </c>
      <c r="E10" s="36">
        <v>4142098</v>
      </c>
      <c r="F10" s="20">
        <f>E10/D10</f>
        <v>55227.973333333335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10</v>
      </c>
      <c r="E11" s="36">
        <v>255548</v>
      </c>
      <c r="F11" s="20">
        <f t="shared" ref="F11:F15" si="0">E11/D11</f>
        <v>25554.799999999999</v>
      </c>
      <c r="G11" s="10" t="s">
        <v>4</v>
      </c>
      <c r="H11" s="1"/>
    </row>
    <row r="12" spans="1:8" x14ac:dyDescent="0.25">
      <c r="A12" s="1"/>
      <c r="B12" s="41" t="s">
        <v>117</v>
      </c>
      <c r="C12" s="39">
        <v>2015</v>
      </c>
      <c r="D12" s="39">
        <v>50</v>
      </c>
      <c r="E12" s="36">
        <v>567462</v>
      </c>
      <c r="F12" s="20">
        <f t="shared" si="0"/>
        <v>11349.24</v>
      </c>
      <c r="G12" s="10" t="s">
        <v>4</v>
      </c>
      <c r="H12" s="1"/>
    </row>
    <row r="13" spans="1:8" x14ac:dyDescent="0.25">
      <c r="A13" s="1"/>
      <c r="B13" s="41" t="s">
        <v>118</v>
      </c>
      <c r="C13" s="39">
        <v>2015</v>
      </c>
      <c r="D13" s="39">
        <v>50</v>
      </c>
      <c r="E13" s="36">
        <v>802712</v>
      </c>
      <c r="F13" s="20">
        <f t="shared" si="0"/>
        <v>16054.24</v>
      </c>
      <c r="G13" s="10" t="s">
        <v>4</v>
      </c>
      <c r="H13" s="1"/>
    </row>
    <row r="14" spans="1:8" x14ac:dyDescent="0.25">
      <c r="A14" s="1"/>
      <c r="B14" s="41" t="s">
        <v>119</v>
      </c>
      <c r="C14" s="39">
        <v>2015</v>
      </c>
      <c r="D14" s="39">
        <v>10</v>
      </c>
      <c r="E14" s="36">
        <v>93956</v>
      </c>
      <c r="F14" s="20">
        <f t="shared" si="0"/>
        <v>9395.6</v>
      </c>
      <c r="G14" s="10" t="s">
        <v>4</v>
      </c>
      <c r="H14" s="1"/>
    </row>
    <row r="15" spans="1:8" x14ac:dyDescent="0.25">
      <c r="A15" s="1"/>
      <c r="B15" s="41" t="s">
        <v>120</v>
      </c>
      <c r="C15" s="39">
        <v>2015</v>
      </c>
      <c r="D15" s="39">
        <v>20</v>
      </c>
      <c r="E15" s="36">
        <v>425698</v>
      </c>
      <c r="F15" s="20">
        <f t="shared" si="0"/>
        <v>21284.9</v>
      </c>
      <c r="G15" s="10" t="s">
        <v>4</v>
      </c>
      <c r="H15" s="1"/>
    </row>
    <row r="16" spans="1:8" x14ac:dyDescent="0.25">
      <c r="A16" s="1"/>
      <c r="B16" s="73" t="s">
        <v>5</v>
      </c>
      <c r="C16" s="74"/>
      <c r="D16" s="74"/>
      <c r="E16" s="75"/>
      <c r="F16" s="34">
        <f>SUM(F10:F15)</f>
        <v>138866.75333333336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2016-12-15T19:18:19Z</dcterms:modified>
</cp:coreProperties>
</file>