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6" l="1"/>
  <c r="G3" i="16"/>
  <c r="H3" i="16"/>
  <c r="I3" i="16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M3" i="16" s="1"/>
  <c r="G6" i="16"/>
  <c r="F5" i="16"/>
  <c r="H5" i="16"/>
  <c r="I6" i="16"/>
  <c r="J3" i="24"/>
  <c r="G5" i="16"/>
  <c r="K3" i="16" s="1"/>
  <c r="H6" i="16"/>
  <c r="F6" i="16"/>
  <c r="J3" i="16" l="1"/>
  <c r="L3" i="16"/>
  <c r="M3" i="24"/>
  <c r="B9" i="12" s="1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<sst xmlns="http://schemas.openxmlformats.org/spreadsheetml/2006/main" count="117" uniqueCount="77">
  <si>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</si>
  <si>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</si>
  <si>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</si>
  <si>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</si>
  <si>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</si>
  <si>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</si>
  <si>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</si>
  <si>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</si>
  <si>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</si>
  <si>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</si>
  <si>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</si>
  <si>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</si>
  <si>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</si>
  <si>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</si>
  <si>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</si>
  <si>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</si>
  <si>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</si>
  <si>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</si>
  <si>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</si>
  <si>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</si>
  <si>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</si>
  <si>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</si>
  <si>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Forsyningssikkerhed</t>
  </si>
  <si>
    <t>Skærpede rensningskrav</t>
  </si>
  <si>
    <t>TV-inspektion</t>
  </si>
  <si>
    <t>Oprensning af lagune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</si>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</sst>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46649982.678185321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13695771.881395999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190455.4136</v>
      </c>
      <c r="C4" t="s">
        <v>11</v>
      </c>
    </row>
    <row r="5" spans="1:3" s="26" customFormat="1" x14ac:dyDescent="0.25">
      <c r="A5" s="3" t="s">
        <v>12</v>
      </c>
      <c r="B5" s="48">
        <f>SUM(B2:B4)</f>
        <v>60536209.973181322</v>
      </c>
      <c r="C5" s="62" t="s">
        <v>11</v>
      </c>
    </row>
    <row r="6" spans="1:3" x14ac:dyDescent="0.25">
      <c r="A6" s="47" t="s">
        <v>0</v>
      </c>
      <c r="B6" s="38">
        <f>Investeringer!E3</f>
        <v>59268496.310511239</v>
      </c>
      <c r="C6" s="23" t="s">
        <v>11</v>
      </c>
    </row>
    <row r="7" spans="1:3" x14ac:dyDescent="0.25">
      <c r="A7" s="4" t="s">
        <v>1</v>
      </c>
      <c r="B7" s="35">
        <f>Investeringer!F3</f>
        <v>17965169.893118389</v>
      </c>
      <c r="C7" t="s">
        <v>11</v>
      </c>
    </row>
    <row r="8" spans="1:3" x14ac:dyDescent="0.25">
      <c r="A8" s="4" t="s">
        <v>2</v>
      </c>
      <c r="B8" s="35">
        <f>Investeringer!G3</f>
        <v>1876416.6666666667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7729324.8056559991</v>
      </c>
      <c r="C9" t="s">
        <v>11</v>
      </c>
    </row>
    <row r="10" spans="1:3" s="22" customFormat="1" x14ac:dyDescent="0.25">
      <c r="A10" s="3" t="s">
        <v>50</v>
      </c>
      <c r="B10" s="48">
        <f>SUM(B6:B9)</f>
        <v>86839407.6759523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5660059</v>
      </c>
      <c r="C11" t="s">
        <v>11</v>
      </c>
    </row>
    <row r="12" spans="1:3" s="22" customFormat="1" x14ac:dyDescent="0.25">
      <c r="A12" s="3" t="s">
        <v>71</v>
      </c>
      <c r="B12" s="48">
        <f>SUM(B11:B11)</f>
        <v>5660059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153035676.64913362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154390308.66955581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72</v>
      </c>
      <c r="H1" s="52" t="s">
        <v>64</v>
      </c>
      <c r="I1" s="52" t="s">
        <v>51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45697108</v>
      </c>
      <c r="C2" s="49">
        <v>198795</v>
      </c>
      <c r="D2" s="49">
        <f>B2+C2</f>
        <v>45895903</v>
      </c>
      <c r="E2" s="50">
        <f>D2</f>
        <v>45895903</v>
      </c>
      <c r="F2" s="49">
        <v>49802120.889841005</v>
      </c>
      <c r="G2" s="49">
        <v>0</v>
      </c>
      <c r="H2" s="49">
        <f>F2-G2</f>
        <v>49802120.889841005</v>
      </c>
      <c r="I2" s="49">
        <f>AVERAGEIF(E2:E4,"&lt;&gt;0")</f>
        <v>46649982.678185321</v>
      </c>
      <c r="J2" s="49">
        <v>37839985.997442022</v>
      </c>
      <c r="K2" s="39">
        <f>IF(H2&gt;I2,IF(I2&gt;J2,I2,J2),H2)</f>
        <v>46649982.678185321</v>
      </c>
    </row>
    <row r="3" spans="1:11" s="23" customFormat="1" x14ac:dyDescent="0.25">
      <c r="A3" s="28">
        <v>2014</v>
      </c>
      <c r="B3" s="49">
        <v>44014408</v>
      </c>
      <c r="C3" s="49"/>
      <c r="D3" s="49">
        <f t="shared" ref="D3:D4" si="0">B3+C3</f>
        <v>44014408</v>
      </c>
      <c r="E3" s="50">
        <f>D3*Pristalsregulering!C7</f>
        <v>44049619.526399992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49226063</v>
      </c>
      <c r="C4" s="49"/>
      <c r="D4" s="49">
        <f t="shared" si="0"/>
        <v>49226063</v>
      </c>
      <c r="E4" s="50">
        <f>D4*Pristalsregulering!$C$6*Pristalsregulering!$C$7</f>
        <v>50004425.508155987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57" max="57" width="9.140625" hidden="1"/>
    <col min="59" max="59" width="9.140625" hidden="1"/>
    <col min="66" max="66" width="9.140625" hidden="1"/>
    <col min="68" max="68" width="9.140625" hidden="1"/>
    <col min="78" max="78" width="9.140625" hidden="1"/>
    <col min="80" max="80" width="9.140625" hidden="1"/>
    <col min="87" max="87" width="9.140625" hidden="1"/>
    <col min="89" max="89" width="9.140625" hidden="1"/>
    <col min="92" max="92" width="9.140625" hidden="1"/>
    <col min="134" max="134" width="9.140625" hidden="1"/>
    <col min="136" max="136" width="9.140625" hidden="1"/>
    <col min="143" max="143" width="9.140625" hidden="1"/>
    <col min="145" max="145" width="9.140625" hidden="1"/>
    <col min="155" max="155" width="9.140625" hidden="1"/>
    <col min="157" max="157" width="9.140625" hidden="1"/>
    <col min="164" max="164" width="9.140625" hidden="1"/>
    <col min="166" max="166" width="9.140625" hidden="1"/>
    <col min="168" max="168" width="9.140625" hidden="1"/>
    <col min="173" max="173" width="9.140625" hidden="1"/>
    <col min="175" max="175" width="9.140625" hidden="1"/>
    <col min="177" max="178" width="9.140625" hidden="1"/>
    <col min="185" max="185" width="9.140625" hidden="1"/>
    <col min="187" max="187" width="9.140625" hidden="1"/>
    <col min="189" max="189" width="9.140625" hidden="1"/>
    <col min="194" max="194" width="9.140625" hidden="1"/>
    <col min="196" max="196" width="9.140625" hidden="1"/>
    <col min="198" max="198" width="9.140625" hidden="1"/>
    <col min="211" max="211" width="9.140625" hidden="1"/>
    <col min="213" max="213" width="9.140625" hidden="1"/>
    <col min="220" max="220" width="9.140625" hidden="1"/>
    <col min="222" max="222" width="9.140625" hidden="1"/>
    <col min="232" max="232" width="9.140625" hidden="1"/>
    <col min="234" max="234" width="9.140625" hidden="1"/>
    <col min="241" max="241" width="9.140625" hidden="1"/>
    <col min="243" max="243" width="9.140625" hidden="1"/>
    <col min="245" max="245" width="9.140625" hidden="1"/>
    <col min="250" max="250" width="9.140625" hidden="1"/>
    <col min="252" max="252" width="9.140625" hidden="1"/>
    <col min="254" max="255" width="9.140625" hidden="1"/>
    <col min="262" max="262" width="9.140625" hidden="1"/>
    <col min="264" max="264" width="9.140625" hidden="1"/>
    <col min="266" max="266" width="9.140625" hidden="1"/>
    <col min="271" max="271" width="9.140625" hidden="1"/>
    <col min="273" max="273" width="9.140625" hidden="1"/>
    <col min="275" max="275" width="9.140625" hidden="1"/>
    <col min="277" max="277" width="9.140625" hidden="1"/>
    <col min="280" max="280" width="9.140625" hidden="1"/>
    <col min="282" max="282" width="9.140625" hidden="1"/>
    <col min="284" max="284" width="9.140625" hidden="1"/>
    <col min="286" max="287" width="9.140625" hidden="1"/>
    <col min="292" max="292" width="9.140625" hidden="1"/>
    <col min="294" max="294" width="9.140625" hidden="1"/>
    <col min="296" max="296" width="9.140625" hidden="1"/>
    <col min="298" max="298" width="9.140625" hidden="1"/>
    <col min="301" max="301" width="9.140625" hidden="1"/>
    <col min="303" max="303" width="9.140625" hidden="1"/>
    <col min="305" max="305" width="9.140625" hidden="1"/>
    <col min="307" max="308" width="9.140625" hidden="1"/>
    <col min="310" max="310" width="9.140625" hidden="1"/>
    <col min="312" max="312" width="9.140625" hidden="1"/>
    <col min="315" max="315" width="9.140625" hidden="1"/>
    <col min="317" max="317" width="9.140625" hidden="1"/>
    <col min="319" max="319" width="9.140625" hidden="1"/>
    <col min="321" max="322" width="9.140625" hidden="1"/>
    <col min="327" max="327" width="9.140625" hidden="1"/>
    <col min="329" max="329" width="9.140625" hidden="1"/>
    <col min="331" max="331" width="9.140625" hidden="1"/>
    <col min="333" max="333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63" t="s">
        <v>75</v>
      </c>
      <c r="G1" s="10"/>
      <c r="H1" s="10"/>
      <c r="I1" s="10"/>
      <c r="J1" s="63" t="s">
        <v>76</v>
      </c>
      <c r="K1" s="10"/>
      <c r="L1" s="10"/>
      <c r="M1" s="10"/>
      <c r="N1" s="63"/>
    </row>
    <row r="2" spans="1:14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2"/>
      <c r="C3" s="72">
        <v>500000</v>
      </c>
      <c r="D3" s="72">
        <v>4950000</v>
      </c>
      <c r="E3" s="72"/>
      <c r="F3" s="45">
        <f>B3</f>
        <v>0</v>
      </c>
      <c r="G3" s="35">
        <f>C3</f>
        <v>500000</v>
      </c>
      <c r="H3" s="35">
        <f>D3</f>
        <v>4950000</v>
      </c>
      <c r="I3" s="35">
        <f>E3</f>
        <v>0</v>
      </c>
      <c r="J3" s="45">
        <f>IF(F4=0,0,AVERAGEIF(F4:F6,"&lt;&gt;0"))+F3</f>
        <v>5742058.5981933335</v>
      </c>
      <c r="K3" s="38">
        <f>IF(G4=0,0,AVERAGEIF(G4:G6,"&lt;&gt;0"))+G3</f>
        <v>500000</v>
      </c>
      <c r="L3" s="38">
        <f>IF(H4=0,0,AVERAGEIF(H4:H6,"&lt;&gt;0"))+H3</f>
        <v>4950000</v>
      </c>
      <c r="M3" s="38">
        <f>IF(I4=0,0,AVERAGEIF(I4:I6,"&lt;&gt;0"))+I3</f>
        <v>2503713.2832026663</v>
      </c>
      <c r="N3" s="57">
        <f>SUM(J3:M3)</f>
        <v>13695771.881395999</v>
      </c>
    </row>
    <row r="4" spans="1:14" x14ac:dyDescent="0.25">
      <c r="A4" s="28">
        <v>2015</v>
      </c>
      <c r="B4" s="35">
        <v>7474231</v>
      </c>
      <c r="C4" s="35"/>
      <c r="D4" s="35"/>
      <c r="E4" s="35">
        <v>427553</v>
      </c>
      <c r="F4" s="45">
        <f>B4</f>
        <v>7474231</v>
      </c>
      <c r="G4" s="35">
        <f>C4</f>
        <v>0</v>
      </c>
      <c r="H4" s="35">
        <f>D4</f>
        <v>0</v>
      </c>
      <c r="I4" s="35">
        <f>E4</f>
        <v>427553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5639728</v>
      </c>
      <c r="C5" s="35"/>
      <c r="D5" s="35"/>
      <c r="E5" s="35">
        <v>3740976</v>
      </c>
      <c r="F5" s="45">
        <f>B5*Pristalsregulering!$C$7</f>
        <v>5644239.7823999999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3743968.7807999998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>
        <v>4043765</v>
      </c>
      <c r="C6" s="35"/>
      <c r="D6" s="35"/>
      <c r="E6" s="35">
        <v>3287634</v>
      </c>
      <c r="F6" s="45">
        <f>B6*Pristalsregulering!$C$7*Pristalsregulering!$C$6</f>
        <v>4107705.0121799991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3339618.0688079991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20000</v>
      </c>
      <c r="C3" s="42">
        <v>207040</v>
      </c>
      <c r="D3" s="42">
        <v>0</v>
      </c>
      <c r="E3" s="41">
        <f>B3</f>
        <v>20000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190455.4136</v>
      </c>
    </row>
    <row r="4" spans="1:8" x14ac:dyDescent="0.25">
      <c r="A4" s="31">
        <v>2014</v>
      </c>
      <c r="B4" s="41">
        <v>20000</v>
      </c>
      <c r="C4" s="42">
        <v>117600</v>
      </c>
      <c r="D4" s="42">
        <v>0</v>
      </c>
      <c r="E4" s="41">
        <f>B4*Pristalsregulering!$C$7</f>
        <v>20016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53000</v>
      </c>
      <c r="C5" s="42">
        <v>150400</v>
      </c>
      <c r="D5" s="42">
        <v>0</v>
      </c>
      <c r="E5" s="41">
        <f>B5*Pristalsregulering!$C$7*Pristalsregulering!$C$6</f>
        <v>53838.035999999986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54439747.085303672</v>
      </c>
      <c r="C3" s="38">
        <v>17526085.026666667</v>
      </c>
      <c r="D3" s="40">
        <v>1876416.6666666667</v>
      </c>
      <c r="E3" s="35">
        <f>B3*Pristalsregulering!C2*Pristalsregulering!C3*Pristalsregulering!C4*Pristalsregulering!C5*Pristalsregulering!C6*Pristalsregulering!C7</f>
        <v>59268496.310511239</v>
      </c>
      <c r="F3" s="35">
        <v>17965169.893118389</v>
      </c>
      <c r="G3" s="35">
        <f>D3</f>
        <v>1876416.6666666667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57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6400348</v>
      </c>
      <c r="D3" s="38">
        <v>4113</v>
      </c>
      <c r="E3" s="40">
        <v>0</v>
      </c>
      <c r="F3" s="38">
        <f>B3</f>
        <v>0</v>
      </c>
      <c r="G3" s="38">
        <f>C3</f>
        <v>6400348</v>
      </c>
      <c r="H3" s="38">
        <f>D3</f>
        <v>4113</v>
      </c>
      <c r="I3" s="40">
        <f>E3</f>
        <v>0</v>
      </c>
      <c r="J3" s="42">
        <f>AVERAGE(F3:F5)</f>
        <v>1321779.4849919998</v>
      </c>
      <c r="K3" s="42">
        <f>G3</f>
        <v>6400348</v>
      </c>
      <c r="L3" s="43">
        <f>AVERAGE(H3:H5)+AVERAGE(I3:I5)</f>
        <v>7197.3206639999989</v>
      </c>
      <c r="M3" s="44">
        <f>SUM(J3:L3)</f>
        <v>7729324.8056559991</v>
      </c>
      <c r="N3" s="23"/>
    </row>
    <row r="4" spans="1:14" x14ac:dyDescent="0.25">
      <c r="A4" s="28">
        <v>2014</v>
      </c>
      <c r="B4" s="45">
        <v>1014357</v>
      </c>
      <c r="C4" s="38">
        <v>6712648</v>
      </c>
      <c r="D4" s="38">
        <v>11917</v>
      </c>
      <c r="E4" s="40">
        <v>0</v>
      </c>
      <c r="F4" s="38">
        <f>IF(B4="","",B4*Pristalsregulering!$C$7)</f>
        <v>1015168.4855999999</v>
      </c>
      <c r="G4" s="38">
        <f>IF(C4="","",C4*Pristalsregulering!$C$7)</f>
        <v>6718018.1183999991</v>
      </c>
      <c r="H4" s="38">
        <f>IF(D4="","",D4*Pristalsregulering!$C$7)</f>
        <v>11926.533599999999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2904248</v>
      </c>
      <c r="C5" s="38">
        <v>7259550</v>
      </c>
      <c r="D5" s="38">
        <v>5466</v>
      </c>
      <c r="E5" s="40">
        <v>0</v>
      </c>
      <c r="F5" s="38">
        <f>IF(B5="","",B5*Pristalsregulering!$C$7*Pristalsregulering!$C$6)</f>
        <v>2950169.9693759996</v>
      </c>
      <c r="G5" s="38">
        <f>IF(C5="","",C5*Pristalsregulering!$C$7*Pristalsregulering!$C$6)</f>
        <v>7374338.0045999987</v>
      </c>
      <c r="H5" s="38">
        <f>IF(D5="","",D5*Pristalsregulering!$C$7*Pristalsregulering!$C$6)</f>
        <v>5552.4283919999989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58</v>
      </c>
      <c r="L1" s="67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1068432</v>
      </c>
      <c r="E2" s="42">
        <v>0</v>
      </c>
      <c r="F2" s="42">
        <v>2430652</v>
      </c>
      <c r="G2" s="42">
        <v>0</v>
      </c>
      <c r="H2" s="42">
        <v>2128452</v>
      </c>
      <c r="I2" s="42">
        <v>0</v>
      </c>
      <c r="J2" s="42"/>
      <c r="K2" s="42"/>
      <c r="L2" s="43">
        <v>0</v>
      </c>
      <c r="M2" s="44">
        <f>SUM(B2:L2)</f>
        <v>5660059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2016-11-11T16:26:24Z</dcterms:modified>
</cp:coreProperties>
</file>