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00" yWindow="450" windowWidth="12090" windowHeight="12990" firstSheet="3" activeTab="3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15" i="11" l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16" i="11"/>
  <c r="F10" i="11"/>
  <c r="F17" i="11" s="1"/>
  <c r="G29" i="12" s="1"/>
  <c r="G13" i="10"/>
  <c r="E15" i="2" s="1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4" i="2" s="1"/>
  <c r="G24" i="2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<sst xmlns="http://schemas.openxmlformats.org/spreadsheetml/2006/main" count="222" uniqueCount="120">
  <si>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</si>
  <si>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</si>
  <si>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</si>
  <si>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</si>
  <si>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</si>
  <si>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</si>
  <si>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</si>
  <si>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</si>
  <si>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</si>
  <si>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</si>
  <si>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</si>
  <si>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</si>
  <si>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</si>
  <si>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</si>
  <si>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</si>
  <si>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</si>
  <si>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</si>
  <si>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</si>
  <si>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</si>
  <si>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</si>
  <si>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</si>
  <si>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</si>
  <si>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</si>
  <si>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</si>
  <si>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</si>
  <si>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</si>
  <si>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</si>
  <si>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</si>
  <si>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</si>
  <si>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</si>
  <si>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</si>
  <si>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</si>
  <si>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</si>
  <si>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</si>
  <si>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</si>
  <si>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</si>
  <si>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</si>
  <si>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</si>
  <si>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</si>
  <si>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</si>
  <si>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</si>
  <si>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</si>
  <si>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</si>
  <si>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</si>
  <si>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</si>
  <si>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</si>
  <si>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</si>
  <si>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</si>
  <si>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</si>
  <si>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</si>
  <si>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</si>
  <si>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</si>
  <si>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</si>
  <si>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</si>
  <si>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</si>
  <si>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</si>
  <si>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</si>
  <si>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</si>
  <si>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</si>
  <si>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</si>
  <si>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</si>
  <si>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</si>
  <si>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</si>
  <si>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</si>
  <si>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</si>
  <si>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</si>
  <si>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</si>
  <si>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</si>
  <si>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</si>
  <si>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</si>
  <si>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</si>
  <si>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</si>
  <si>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</si>
  <si>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</si>
  <si>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</si>
  <si>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</si>
  <si>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</si>
  <si>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</si>
  <si>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</si>
  <si>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</si>
  <si>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</si>
  <si>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</si>
  <si>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</si>
  <si>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</si>
  <si>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</si>
  <si>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</si>
  <si>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</si>
  <si>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</si>
  <si>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</si>
  <si>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</si>
  <si>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</si>
  <si>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</si>
  <si>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</si>
  <si>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</si>
  <si>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</si>
  <si>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</si>
  <si>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</si>
  <si>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</si>
  <si>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</si>
  <si>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</si>
  <si>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</si>
  <si>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</si>
  <si>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</si>
  <si>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</si>
  <si>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</si>
  <si>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Ø 500 mm &lt; Ledningsnet ≤ Ø 800 mm</t>
  </si>
  <si>
    <t>Strømpeforing Ø 200 mm &lt; Ledningsnet ≤ Ø 500 mm</t>
  </si>
  <si>
    <t>Tryksatte minipumpestationer (husstandssystemer)</t>
  </si>
  <si>
    <t>Pumpestationer i brønde (&lt; 6,25 m2), Mek/EL</t>
  </si>
  <si>
    <t>Pumpestationer i brønde (&lt; 6,25 m2), SRO</t>
  </si>
  <si>
    <t>Arbejdsplads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</si>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</sst>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D14" sqref="D14:G14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8" t="s">
        <v>115</v>
      </c>
      <c r="C3" s="88"/>
      <c r="D3" s="88"/>
      <c r="E3" s="88"/>
      <c r="F3" s="88"/>
      <c r="G3" s="88"/>
      <c r="H3" s="88"/>
      <c r="I3" s="20"/>
    </row>
    <row r="4" spans="1:9" ht="15" customHeight="1" x14ac:dyDescent="0.25">
      <c r="A4" s="20"/>
      <c r="B4" s="88"/>
      <c r="C4" s="88"/>
      <c r="D4" s="88"/>
      <c r="E4" s="88"/>
      <c r="F4" s="88"/>
      <c r="G4" s="88"/>
      <c r="H4" s="8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5" t="s">
        <v>103</v>
      </c>
      <c r="C8" s="86"/>
      <c r="D8" s="86"/>
      <c r="E8" s="86"/>
      <c r="F8" s="86"/>
      <c r="G8" s="86"/>
      <c r="H8" s="87"/>
      <c r="I8" s="20"/>
    </row>
    <row r="9" spans="1:9" ht="30" customHeight="1" x14ac:dyDescent="0.25">
      <c r="A9" s="20"/>
      <c r="B9" s="82" t="s">
        <v>28</v>
      </c>
      <c r="C9" s="83"/>
      <c r="D9" s="84"/>
      <c r="E9" s="27">
        <f>'Fane 3. Grundlag'!G12</f>
        <v>166856292.79821461</v>
      </c>
      <c r="F9" s="28" t="s">
        <v>4</v>
      </c>
      <c r="G9" s="29"/>
      <c r="H9" s="30"/>
      <c r="I9" s="20"/>
    </row>
    <row r="10" spans="1:9" x14ac:dyDescent="0.25">
      <c r="A10" s="20"/>
      <c r="B10" s="92" t="s">
        <v>91</v>
      </c>
      <c r="C10" s="90"/>
      <c r="D10" s="91"/>
      <c r="E10" s="31">
        <f>'Fane 3. Grundlag'!G11</f>
        <v>14640944.735122159</v>
      </c>
      <c r="F10" s="28" t="s">
        <v>4</v>
      </c>
      <c r="G10" s="32"/>
      <c r="H10" s="33"/>
      <c r="I10" s="20"/>
    </row>
    <row r="11" spans="1:9" x14ac:dyDescent="0.25">
      <c r="A11" s="20"/>
      <c r="B11" s="89" t="s">
        <v>22</v>
      </c>
      <c r="C11" s="90"/>
      <c r="D11" s="91"/>
      <c r="E11" s="31">
        <f>'Fane 4. Individuelt eff.krav'!G11</f>
        <v>1440043.9679855835</v>
      </c>
      <c r="F11" s="28" t="s">
        <v>4</v>
      </c>
      <c r="G11" s="34"/>
      <c r="H11" s="33"/>
      <c r="I11" s="20"/>
    </row>
    <row r="12" spans="1:9" x14ac:dyDescent="0.25">
      <c r="A12" s="20"/>
      <c r="B12" s="89" t="s">
        <v>23</v>
      </c>
      <c r="C12" s="90"/>
      <c r="D12" s="91"/>
      <c r="E12" s="31">
        <f>'Fane 5. Generelt eff.krav'!G15</f>
        <v>1877186.8663741411</v>
      </c>
      <c r="F12" s="28" t="s">
        <v>4</v>
      </c>
      <c r="G12" s="35"/>
      <c r="H12" s="36"/>
      <c r="I12" s="20"/>
    </row>
    <row r="13" spans="1:9" x14ac:dyDescent="0.25">
      <c r="A13" s="20"/>
      <c r="B13" s="93" t="s">
        <v>37</v>
      </c>
      <c r="C13" s="94"/>
      <c r="D13" s="95"/>
      <c r="E13" s="37">
        <f>$E$9-$E$11-$E$12</f>
        <v>163539061.96385491</v>
      </c>
      <c r="F13" s="38" t="s">
        <v>4</v>
      </c>
      <c r="G13" s="37">
        <f>E13</f>
        <v>163539061.96385491</v>
      </c>
      <c r="H13" s="38" t="s">
        <v>4</v>
      </c>
      <c r="I13" s="20"/>
    </row>
    <row r="14" spans="1:9" x14ac:dyDescent="0.25">
      <c r="A14" s="20"/>
      <c r="B14" s="85" t="s">
        <v>29</v>
      </c>
      <c r="C14" s="86"/>
      <c r="D14" s="86"/>
      <c r="E14" s="86"/>
      <c r="F14" s="86"/>
      <c r="G14" s="86"/>
      <c r="H14" s="87"/>
      <c r="I14" s="20"/>
    </row>
    <row r="15" spans="1:9" x14ac:dyDescent="0.25">
      <c r="A15" s="20"/>
      <c r="B15" s="79" t="s">
        <v>102</v>
      </c>
      <c r="C15" s="80"/>
      <c r="D15" s="81"/>
      <c r="E15" s="37">
        <f>'Fane 6. Hist. over el. underdæk'!G13</f>
        <v>2035827.25</v>
      </c>
      <c r="F15" s="38" t="s">
        <v>4</v>
      </c>
      <c r="G15" s="37">
        <f>E15</f>
        <v>2035827.25</v>
      </c>
      <c r="H15" s="38" t="s">
        <v>4</v>
      </c>
      <c r="I15" s="20"/>
    </row>
    <row r="16" spans="1:9" x14ac:dyDescent="0.25">
      <c r="A16" s="20"/>
      <c r="B16" s="85" t="s">
        <v>25</v>
      </c>
      <c r="C16" s="86"/>
      <c r="D16" s="86"/>
      <c r="E16" s="86"/>
      <c r="F16" s="86"/>
      <c r="G16" s="86"/>
      <c r="H16" s="87"/>
      <c r="I16" s="20"/>
    </row>
    <row r="17" spans="1:9" x14ac:dyDescent="0.25">
      <c r="A17" s="20"/>
      <c r="B17" s="82" t="s">
        <v>32</v>
      </c>
      <c r="C17" s="83"/>
      <c r="D17" s="84"/>
      <c r="E17" s="31">
        <f>'Fane 8. Korrektion af PL2015'!G11</f>
        <v>7029042</v>
      </c>
      <c r="F17" s="28" t="s">
        <v>4</v>
      </c>
      <c r="G17" s="39"/>
      <c r="H17" s="30"/>
      <c r="I17" s="20"/>
    </row>
    <row r="18" spans="1:9" x14ac:dyDescent="0.25">
      <c r="A18" s="20"/>
      <c r="B18" s="82" t="s">
        <v>33</v>
      </c>
      <c r="C18" s="83"/>
      <c r="D18" s="84"/>
      <c r="E18" s="31">
        <f>'Fane 8. Korrektion af PL2015'!G17</f>
        <v>2466931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2" t="s">
        <v>92</v>
      </c>
      <c r="C19" s="83"/>
      <c r="D19" s="84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82" t="s">
        <v>34</v>
      </c>
      <c r="C20" s="83"/>
      <c r="D20" s="84"/>
      <c r="E20" s="31">
        <f>'Fane 8. Korrektion af PL2015'!G30</f>
        <v>-458769.78666666616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6" t="s">
        <v>116</v>
      </c>
      <c r="C21" s="77"/>
      <c r="D21" s="78"/>
      <c r="E21" s="10">
        <f>'Fane 8. Korrektion af PL2015'!G36</f>
        <v>564938.19310564816</v>
      </c>
      <c r="F21" s="54" t="s">
        <v>4</v>
      </c>
      <c r="G21" s="35"/>
      <c r="H21" s="36"/>
      <c r="I21" s="20"/>
    </row>
    <row r="22" spans="1:9" x14ac:dyDescent="0.25">
      <c r="A22" s="20"/>
      <c r="B22" s="79" t="s">
        <v>35</v>
      </c>
      <c r="C22" s="80"/>
      <c r="D22" s="81"/>
      <c r="E22" s="37">
        <f>SUM(E17:E21)</f>
        <v>9602141.4064389821</v>
      </c>
      <c r="F22" s="38" t="s">
        <v>4</v>
      </c>
      <c r="G22" s="37">
        <f>E22</f>
        <v>9602141.4064389821</v>
      </c>
      <c r="H22" s="38" t="s">
        <v>4</v>
      </c>
      <c r="I22" s="20"/>
    </row>
    <row r="23" spans="1:9" x14ac:dyDescent="0.25">
      <c r="A23" s="20"/>
      <c r="B23" s="85" t="s">
        <v>30</v>
      </c>
      <c r="C23" s="86"/>
      <c r="D23" s="86"/>
      <c r="E23" s="86"/>
      <c r="F23" s="86"/>
      <c r="G23" s="86"/>
      <c r="H23" s="87"/>
      <c r="I23" s="20"/>
    </row>
    <row r="24" spans="1:9" x14ac:dyDescent="0.25">
      <c r="A24" s="20"/>
      <c r="B24" s="79" t="s">
        <v>31</v>
      </c>
      <c r="C24" s="80"/>
      <c r="D24" s="81"/>
      <c r="E24" s="37">
        <f>'Fane 9. Kontrol af PL2015'!G36</f>
        <v>2429688.5715709776</v>
      </c>
      <c r="F24" s="38" t="s">
        <v>4</v>
      </c>
      <c r="G24" s="37">
        <f>E24</f>
        <v>2429688.5715709776</v>
      </c>
      <c r="H24" s="38" t="s">
        <v>4</v>
      </c>
      <c r="I24" s="20"/>
    </row>
    <row r="25" spans="1:9" x14ac:dyDescent="0.25">
      <c r="A25" s="20"/>
      <c r="B25" s="85" t="s">
        <v>36</v>
      </c>
      <c r="C25" s="86"/>
      <c r="D25" s="86"/>
      <c r="E25" s="86"/>
      <c r="F25" s="87"/>
      <c r="G25" s="40">
        <f>G13+G15+G22+G24</f>
        <v>177606719.19186485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4:H14"/>
    <mergeCell ref="B8:H8"/>
    <mergeCell ref="B17:D17"/>
    <mergeCell ref="B21:D21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>
      <selection activeCell="G9" sqref="G9"/>
    </sheetView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1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8" t="s">
        <v>9</v>
      </c>
      <c r="C3" s="88"/>
      <c r="D3" s="88"/>
      <c r="E3" s="88"/>
      <c r="F3" s="88"/>
      <c r="G3" s="88"/>
      <c r="H3" s="88"/>
      <c r="I3" s="20"/>
    </row>
    <row r="4" spans="1:9" ht="15" customHeight="1" x14ac:dyDescent="0.25">
      <c r="A4" s="20"/>
      <c r="B4" s="88"/>
      <c r="C4" s="88"/>
      <c r="D4" s="88"/>
      <c r="E4" s="88"/>
      <c r="F4" s="88"/>
      <c r="G4" s="88"/>
      <c r="H4" s="8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5" t="s">
        <v>38</v>
      </c>
      <c r="C8" s="86"/>
      <c r="D8" s="86"/>
      <c r="E8" s="86"/>
      <c r="F8" s="86"/>
      <c r="G8" s="86"/>
      <c r="H8" s="87"/>
      <c r="I8" s="20"/>
    </row>
    <row r="9" spans="1:9" x14ac:dyDescent="0.25">
      <c r="A9" s="20"/>
      <c r="B9" s="89" t="s">
        <v>93</v>
      </c>
      <c r="C9" s="90"/>
      <c r="D9" s="90"/>
      <c r="E9" s="90"/>
      <c r="F9" s="91"/>
      <c r="G9" s="46">
        <v>45140110</v>
      </c>
      <c r="H9" s="42" t="s">
        <v>4</v>
      </c>
      <c r="I9" s="20"/>
    </row>
    <row r="10" spans="1:9" x14ac:dyDescent="0.25">
      <c r="A10" s="20"/>
      <c r="B10" s="89" t="s">
        <v>94</v>
      </c>
      <c r="C10" s="90"/>
      <c r="D10" s="90"/>
      <c r="E10" s="90"/>
      <c r="F10" s="91"/>
      <c r="G10" s="46">
        <v>107075238.06309244</v>
      </c>
      <c r="H10" s="42" t="s">
        <v>4</v>
      </c>
      <c r="I10" s="20"/>
    </row>
    <row r="11" spans="1:9" x14ac:dyDescent="0.25">
      <c r="A11" s="20"/>
      <c r="B11" s="89" t="s">
        <v>95</v>
      </c>
      <c r="C11" s="90"/>
      <c r="D11" s="90"/>
      <c r="E11" s="90"/>
      <c r="F11" s="91"/>
      <c r="G11" s="46">
        <v>14640944.735122159</v>
      </c>
      <c r="H11" s="42" t="s">
        <v>4</v>
      </c>
      <c r="I11" s="20"/>
    </row>
    <row r="12" spans="1:9" x14ac:dyDescent="0.25">
      <c r="A12" s="20"/>
      <c r="B12" s="85" t="s">
        <v>38</v>
      </c>
      <c r="C12" s="86"/>
      <c r="D12" s="86"/>
      <c r="E12" s="86"/>
      <c r="F12" s="87"/>
      <c r="G12" s="40">
        <f>SUM(G9:G11)</f>
        <v>166856292.79821461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152215348.06309247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0.94605700825168615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1440043.9679855835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45140110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902802.2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107075238.06309244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974384.66637414123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1877186.8663741411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14631808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6488499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8143309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4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f>G11/G12</f>
        <v>2035827.25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85837364</v>
      </c>
      <c r="F10" s="10">
        <f>E10/D10</f>
        <v>1144498.1866666668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50</v>
      </c>
      <c r="E11" s="46">
        <v>6430886</v>
      </c>
      <c r="F11" s="10">
        <f t="shared" ref="F11:F16" si="0">E11/D11</f>
        <v>128617.72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30</v>
      </c>
      <c r="E12" s="46">
        <v>12836502</v>
      </c>
      <c r="F12" s="10">
        <f t="shared" si="0"/>
        <v>427883.4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6834242</v>
      </c>
      <c r="F13" s="10">
        <f t="shared" si="0"/>
        <v>341712.1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10</v>
      </c>
      <c r="E14" s="46">
        <v>1369171</v>
      </c>
      <c r="F14" s="10">
        <f t="shared" si="0"/>
        <v>136917.1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429697</v>
      </c>
      <c r="F15" s="10">
        <f>E15/D15</f>
        <v>85939.4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</v>
      </c>
      <c r="E16" s="46">
        <v>542421</v>
      </c>
      <c r="F16" s="10">
        <f t="shared" si="0"/>
        <v>108484.2</v>
      </c>
      <c r="G16" s="3" t="s">
        <v>4</v>
      </c>
      <c r="H16" s="1"/>
    </row>
    <row r="17" spans="1:8" x14ac:dyDescent="0.25">
      <c r="A17" s="1"/>
      <c r="B17" s="97" t="s">
        <v>112</v>
      </c>
      <c r="C17" s="98"/>
      <c r="D17" s="98"/>
      <c r="E17" s="99"/>
      <c r="F17" s="18">
        <f>SUM(F10:F16)</f>
        <v>2374052.1066666669</v>
      </c>
      <c r="G17" s="8" t="s">
        <v>4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C6BD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14745819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7716777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7029042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3239337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772406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2466931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0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2815291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2391583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2015'!F17</f>
        <v>2374052.1066666669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-458769.78666666616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116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117</v>
      </c>
      <c r="C34" s="101"/>
      <c r="D34" s="101"/>
      <c r="E34" s="101"/>
      <c r="F34" s="102"/>
      <c r="G34" s="10">
        <v>800469.80689435184</v>
      </c>
      <c r="H34" s="3" t="s">
        <v>4</v>
      </c>
      <c r="I34" s="1"/>
    </row>
    <row r="35" spans="1:9" x14ac:dyDescent="0.25">
      <c r="A35" s="1"/>
      <c r="B35" s="100" t="s">
        <v>118</v>
      </c>
      <c r="C35" s="101"/>
      <c r="D35" s="101"/>
      <c r="E35" s="101"/>
      <c r="F35" s="102"/>
      <c r="G35" s="10">
        <v>1365408</v>
      </c>
      <c r="H35" s="3" t="s">
        <v>4</v>
      </c>
      <c r="I35" s="1"/>
    </row>
    <row r="36" spans="1:9" x14ac:dyDescent="0.25">
      <c r="A36" s="1"/>
      <c r="B36" s="97" t="s">
        <v>119</v>
      </c>
      <c r="C36" s="98"/>
      <c r="D36" s="98"/>
      <c r="E36" s="98"/>
      <c r="F36" s="99"/>
      <c r="G36" s="18">
        <f>G35-G34</f>
        <v>564938.19310564816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0:F30"/>
    <mergeCell ref="B21:F21"/>
    <mergeCell ref="B22:F22"/>
    <mergeCell ref="B23:F23"/>
    <mergeCell ref="B26:H26"/>
    <mergeCell ref="B27:F27"/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183527605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81308436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7383133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176277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4867141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93734987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6967272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1015828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7983100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76" t="s">
        <v>52</v>
      </c>
      <c r="C20" s="77"/>
      <c r="D20" s="78"/>
      <c r="E20" s="46">
        <v>-1495429.71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76" t="s">
        <v>53</v>
      </c>
      <c r="C21" s="77"/>
      <c r="D21" s="78"/>
      <c r="E21" s="46">
        <v>-59590676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-10179893.48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-1650000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76" t="s">
        <v>56</v>
      </c>
      <c r="C24" s="77"/>
      <c r="D24" s="7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76" t="s">
        <v>57</v>
      </c>
      <c r="C25" s="77"/>
      <c r="D25" s="7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76" t="s">
        <v>58</v>
      </c>
      <c r="C26" s="77"/>
      <c r="D26" s="78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-72915999.189999998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28802087.810000002</v>
      </c>
      <c r="F28" s="6" t="s">
        <v>4</v>
      </c>
      <c r="G28" s="16">
        <f>IF(E28&lt;0,0,-E28)</f>
        <v>-28802087.810000002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26540061.698429018</v>
      </c>
      <c r="F30" s="6" t="s">
        <v>4</v>
      </c>
      <c r="G30" s="17">
        <f>-$E$30</f>
        <v>-26540061.698429018</v>
      </c>
      <c r="H30" s="6" t="s">
        <v>4</v>
      </c>
      <c r="I30" s="1"/>
    </row>
    <row r="31" spans="1:9" x14ac:dyDescent="0.25">
      <c r="A31" s="1"/>
      <c r="B31" s="117" t="s">
        <v>113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76" t="s">
        <v>114</v>
      </c>
      <c r="C32" s="77"/>
      <c r="D32" s="78"/>
      <c r="E32" s="46">
        <v>118585328.92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76" t="s">
        <v>63</v>
      </c>
      <c r="C34" s="77"/>
      <c r="D34" s="78"/>
      <c r="E34" s="46">
        <v>7170438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125755766.92</v>
      </c>
      <c r="F35" s="6" t="s">
        <v>4</v>
      </c>
      <c r="G35" s="17">
        <f>-E35</f>
        <v>-125755766.92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2429688.5715709776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2016-12-13T11:14:30Z</dcterms:modified>
</cp:coreProperties>
</file>