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Investeringer" sheetId="20" r:id="rId5"/>
    <sheet name="Finansielle omkostninger" sheetId="24" r:id="rId6"/>
    <sheet name="Ikke-påvirkelige omkostninger" sheetId="18" r:id="rId7"/>
    <sheet name="Medfinansiering" sheetId="29" r:id="rId8"/>
    <sheet name="Pristalsregulering" sheetId="27" r:id="rId9"/>
  </sheets>
  <calcPr calcId="145621"/>
</workbook>
</file>

<file path=xl/calcChain.xml><?xml version="1.0" encoding="utf-8"?>
<calcChain xmlns="http://schemas.openxmlformats.org/spreadsheetml/2006/main">
  <c r="B7" i="12" l="1"/>
  <c r="G3" i="20"/>
  <c r="B8" i="12" s="1"/>
  <c r="E3" i="20"/>
  <c r="B6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B12" i="12" l="1"/>
  <c r="M2" i="18" l="1"/>
  <c r="C8" i="27" l="1"/>
  <c r="C9" i="27"/>
  <c r="E2" i="15" l="1"/>
  <c r="C3" i="16" l="1"/>
  <c r="F3" i="17" l="1"/>
  <c r="G3" i="17"/>
  <c r="C4" i="16" l="1"/>
  <c r="G3" i="24"/>
  <c r="K3" i="24" s="1"/>
  <c r="H3" i="24"/>
  <c r="I3" i="24"/>
  <c r="F3" i="24"/>
  <c r="B11" i="12"/>
  <c r="B13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C5" i="16"/>
  <c r="C6" i="16"/>
  <c r="M3" i="24" l="1"/>
  <c r="B9" i="12" s="1"/>
  <c r="B10" i="12" s="1"/>
  <c r="D3" i="16"/>
  <c r="H3" i="17"/>
  <c r="B4" i="12" s="1"/>
  <c r="I2" i="15"/>
  <c r="K2" i="15" s="1"/>
  <c r="B2" i="12" s="1"/>
  <c r="E3" i="16" l="1"/>
  <c r="B3" i="12" s="1"/>
  <c r="B5" i="12" s="1"/>
  <c r="B15" i="12" l="1"/>
  <c r="B17" i="12" s="1"/>
</calcChain>
</file>

<file path=xl/sharedStrings.xml><?xml version="1.0" encoding="utf-8"?>
<sst xmlns="http://schemas.openxmlformats.org/spreadsheetml/2006/main" count="113" uniqueCount="78">
  <si>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</si>
  <si>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</si>
  <si>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</si>
  <si>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</si>
  <si>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</si>
  <si>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</si>
  <si>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</si>
  <si>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</si>
  <si>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</si>
  <si>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</si>
  <si>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</si>
  <si>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</si>
  <si>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</si>
  <si>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</si>
  <si>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</si>
  <si>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</si>
  <si>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</si>
  <si>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</si>
  <si>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</si>
  <si>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</si>
  <si>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</si>
  <si>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</si>
  <si>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Ledelsessystem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</si>
  <si>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</si>
  <si>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</si>
  <si>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</si>
  <si>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</si>
  <si>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</si>
  <si>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</si>
  <si>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</si>
  <si>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</si>
  <si>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</si>
  <si>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</si>
  <si>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</si>
  <si>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</si>
  <si>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</si>
  <si>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</si>
  <si>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</si>
  <si>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</si>
  <si>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</si>
  <si>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</si>
  <si>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</si>
  <si>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</si>
  <si>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</si>
  <si>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</si>
  <si>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</si>
  <si>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</si>
  <si>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</si>
  <si>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</si>
  <si>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Medfinansiering af klimaprojekter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</si>
  <si>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</si>
  <si>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</si>
  <si>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</si>
  <si>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</si>
  <si>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</si>
  <si>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</si>
  <si>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</si>
  <si>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Projektnavn</t>
  </si>
  <si>
    <t>Tillæg i 2015-priser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</si>
  <si>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</si>
  <si>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</si>
  <si>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</si>
  <si>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</si>
  <si>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</si>
  <si>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</si>
  <si>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</si>
  <si>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</si>
  <si>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</si>
  <si>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</si>
  <si>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</si>
  <si>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</si>
  <si>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</si>
  <si>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</si>
  <si>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</si>
  <si>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Odense Cykelarena</t>
  </si>
  <si>
    <t>Faktisk indberettede MOGS</t>
  </si>
  <si>
    <t>Pristalsreguleret MOGS</t>
  </si>
  <si>
    <t>MOGS til Grundlaget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</si>
</sst>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indexed="64"/>
      </left>
      <right style="thick">
        <color auto="1"/>
      </right>
      <top/>
      <bottom/>
      <diagonal/>
    </border>
    <border>
      <left style="thick">
        <color indexed="64"/>
      </left>
      <right style="thick">
        <color auto="1"/>
      </right>
      <top/>
      <bottom style="thick">
        <color auto="1"/>
      </bottom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5" fontId="6" fillId="0" borderId="0" applyFont="0" applyFill="0" applyBorder="0" applyAlignment="0" applyProtection="0"/>
  </cellStyleXfs>
  <cellXfs count="87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27" xfId="0" applyFont="1" applyBorder="1" applyAlignment="1">
      <alignment wrapText="1"/>
    </xf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3" fillId="0" borderId="24" xfId="0" applyNumberFormat="1" applyFont="1" applyFill="1" applyBorder="1"/>
    <xf numFmtId="0" fontId="0" fillId="0" borderId="0" xfId="0" applyFont="1" applyBorder="1" applyAlignment="1">
      <alignment wrapText="1"/>
    </xf>
    <xf numFmtId="166" fontId="0" fillId="0" borderId="0" xfId="27368" applyNumberFormat="1" applyFont="1"/>
    <xf numFmtId="166" fontId="0" fillId="0" borderId="0" xfId="27368" applyNumberFormat="1" applyFont="1" applyAlignme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3" fillId="0" borderId="0" xfId="27368" applyNumberFormat="1" applyFont="1"/>
    <xf numFmtId="166" fontId="0" fillId="0" borderId="23" xfId="27368" applyNumberFormat="1" applyFont="1" applyBorder="1"/>
    <xf numFmtId="166" fontId="0" fillId="0" borderId="28" xfId="27368" applyNumberFormat="1" applyFont="1" applyFill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3" fillId="0" borderId="28" xfId="0" applyFont="1" applyBorder="1" applyAlignment="1">
      <alignment wrapText="1"/>
    </xf>
    <xf numFmtId="166" fontId="3" fillId="0" borderId="28" xfId="27368" applyNumberFormat="1" applyFont="1" applyBorder="1"/>
    <xf numFmtId="0" fontId="0" fillId="0" borderId="28" xfId="0" applyBorder="1"/>
    <xf numFmtId="0" fontId="0" fillId="0" borderId="28" xfId="0" applyFont="1" applyBorder="1" applyAlignment="1">
      <alignment wrapText="1"/>
    </xf>
    <xf numFmtId="166" fontId="3" fillId="0" borderId="28" xfId="0" applyNumberFormat="1" applyFont="1" applyBorder="1" applyAlignment="1">
      <alignment wrapText="1"/>
    </xf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5" fontId="0" fillId="0" borderId="0" xfId="27368" applyFont="1"/>
    <xf numFmtId="0" fontId="3" fillId="0" borderId="2" xfId="0" applyFont="1" applyBorder="1"/>
    <xf numFmtId="0" fontId="4" fillId="0" borderId="0" xfId="0" applyFont="1" applyFill="1" applyAlignment="1">
      <alignment horizontal="left"/>
    </xf>
    <xf numFmtId="166" fontId="4" fillId="0" borderId="0" xfId="27368" applyNumberFormat="1" applyFont="1" applyFill="1" applyAlignment="1">
      <alignment horizontal="left"/>
    </xf>
    <xf numFmtId="0" fontId="3" fillId="0" borderId="26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27368" applyNumberFormat="1" applyFont="1" applyBorder="1" applyAlignment="1">
      <alignment wrapText="1"/>
    </xf>
    <xf numFmtId="0" fontId="3" fillId="0" borderId="30" xfId="0" applyFont="1" applyBorder="1"/>
    <xf numFmtId="0" fontId="0" fillId="0" borderId="29" xfId="0" applyFont="1" applyBorder="1" applyAlignment="1">
      <alignment wrapText="1"/>
    </xf>
    <xf numFmtId="166" fontId="0" fillId="0" borderId="29" xfId="27368" applyNumberFormat="1" applyFont="1" applyBorder="1"/>
    <xf numFmtId="0" fontId="0" fillId="0" borderId="29" xfId="0" applyBorder="1"/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4" customFormat="1" ht="15.75" thickBot="1" x14ac:dyDescent="0.3">
      <c r="A1" s="18" t="s">
        <v>6</v>
      </c>
      <c r="B1" s="18" t="s">
        <v>7</v>
      </c>
    </row>
    <row r="2" spans="1:3" x14ac:dyDescent="0.25">
      <c r="A2" s="4" t="s">
        <v>5</v>
      </c>
      <c r="B2" s="35">
        <f>'Faktiske driftsomkostninger'!K2</f>
        <v>120599783.02215464</v>
      </c>
      <c r="C2" t="s">
        <v>11</v>
      </c>
    </row>
    <row r="3" spans="1:3" s="2" customFormat="1" x14ac:dyDescent="0.25">
      <c r="A3" s="5" t="s">
        <v>8</v>
      </c>
      <c r="B3" s="36">
        <f>'Miljø- og servicemål'!E3</f>
        <v>120050.0024</v>
      </c>
      <c r="C3" t="s">
        <v>11</v>
      </c>
    </row>
    <row r="4" spans="1:3" s="2" customFormat="1" x14ac:dyDescent="0.25">
      <c r="A4" s="5" t="s">
        <v>9</v>
      </c>
      <c r="B4" s="36">
        <f>'Revisorerklæringer mm.'!H3</f>
        <v>248455.06598399999</v>
      </c>
      <c r="C4" t="s">
        <v>11</v>
      </c>
    </row>
    <row r="5" spans="1:3" s="26" customFormat="1" x14ac:dyDescent="0.25">
      <c r="A5" s="3" t="s">
        <v>12</v>
      </c>
      <c r="B5" s="48">
        <f>SUM(B2:B4)</f>
        <v>120968288.09053864</v>
      </c>
      <c r="C5" s="62" t="s">
        <v>11</v>
      </c>
    </row>
    <row r="6" spans="1:3" x14ac:dyDescent="0.25">
      <c r="A6" s="47" t="s">
        <v>0</v>
      </c>
      <c r="B6" s="38">
        <f>Investeringer!E3</f>
        <v>172626313.65421945</v>
      </c>
      <c r="C6" s="23" t="s">
        <v>11</v>
      </c>
    </row>
    <row r="7" spans="1:3" x14ac:dyDescent="0.25">
      <c r="A7" s="4" t="s">
        <v>1</v>
      </c>
      <c r="B7" s="35">
        <f>Investeringer!F3</f>
        <v>43228263</v>
      </c>
      <c r="C7" t="s">
        <v>11</v>
      </c>
    </row>
    <row r="8" spans="1:3" x14ac:dyDescent="0.25">
      <c r="A8" s="4" t="s">
        <v>2</v>
      </c>
      <c r="B8" s="35">
        <f>Investeringer!G3</f>
        <v>6461306.666666667</v>
      </c>
      <c r="C8" t="s">
        <v>11</v>
      </c>
    </row>
    <row r="9" spans="1:3" s="22" customFormat="1" x14ac:dyDescent="0.25">
      <c r="A9" s="4" t="s">
        <v>4</v>
      </c>
      <c r="B9" s="35">
        <f>'Finansielle omkostninger'!M3</f>
        <v>24923338.924799997</v>
      </c>
      <c r="C9" t="s">
        <v>11</v>
      </c>
    </row>
    <row r="10" spans="1:3" s="22" customFormat="1" x14ac:dyDescent="0.25">
      <c r="A10" s="3" t="s">
        <v>47</v>
      </c>
      <c r="B10" s="48">
        <f>SUM(B6:B9)</f>
        <v>247239222.24568611</v>
      </c>
      <c r="C10" s="62" t="s">
        <v>11</v>
      </c>
    </row>
    <row r="11" spans="1:3" s="22" customFormat="1" x14ac:dyDescent="0.25">
      <c r="A11" s="4" t="s">
        <v>10</v>
      </c>
      <c r="B11" s="35">
        <f>'Ikke-påvirkelige omkostninger'!M2</f>
        <v>8806162</v>
      </c>
      <c r="C11" t="s">
        <v>11</v>
      </c>
    </row>
    <row r="12" spans="1:3" s="22" customFormat="1" x14ac:dyDescent="0.25">
      <c r="A12" s="4" t="s">
        <v>49</v>
      </c>
      <c r="B12" s="35">
        <f>SUM(Medfinansiering!B:B)</f>
        <v>354000</v>
      </c>
      <c r="C12" s="22" t="s">
        <v>11</v>
      </c>
    </row>
    <row r="13" spans="1:3" s="22" customFormat="1" x14ac:dyDescent="0.25">
      <c r="A13" s="3" t="s">
        <v>71</v>
      </c>
      <c r="B13" s="48">
        <f>SUM(B11:B12)</f>
        <v>9160162</v>
      </c>
      <c r="C13" s="62" t="s">
        <v>11</v>
      </c>
    </row>
    <row r="14" spans="1:3" x14ac:dyDescent="0.25">
      <c r="A14" s="1"/>
      <c r="B14" s="35"/>
    </row>
    <row r="15" spans="1:3" ht="15.75" thickBot="1" x14ac:dyDescent="0.3">
      <c r="A15" s="27" t="s">
        <v>60</v>
      </c>
      <c r="B15" s="37">
        <f>SUM(B5,B10,B13)</f>
        <v>377367672.33622473</v>
      </c>
      <c r="C15" s="27" t="s">
        <v>3</v>
      </c>
    </row>
    <row r="16" spans="1:3" ht="15.75" thickTop="1" x14ac:dyDescent="0.25"/>
    <row r="17" spans="1:3" ht="15.75" thickBot="1" x14ac:dyDescent="0.3">
      <c r="A17" s="27" t="s">
        <v>52</v>
      </c>
      <c r="B17" s="37">
        <f>B15*Pristalsregulering!C8*Pristalsregulering!C9</f>
        <v>380708032.85615015</v>
      </c>
      <c r="C17" s="27" t="s">
        <v>3</v>
      </c>
    </row>
    <row r="18" spans="1:3" ht="15.75" hidden="1" thickTop="1" x14ac:dyDescent="0.25">
      <c r="B18" s="61"/>
    </row>
    <row r="19" spans="1:3" hidden="1" x14ac:dyDescent="0.25"/>
    <row r="20" spans="1:3" hidden="1" x14ac:dyDescent="0.25"/>
    <row r="21" spans="1:3" hidden="1" x14ac:dyDescent="0.25"/>
    <row r="22" spans="1:3" hidden="1" x14ac:dyDescent="0.25"/>
    <row r="23" spans="1:3" hidden="1" x14ac:dyDescent="0.25"/>
    <row r="24" spans="1:3" hidden="1" x14ac:dyDescent="0.25"/>
    <row r="25" spans="1:3" hidden="1" x14ac:dyDescent="0.25"/>
    <row r="26" spans="1:3" hidden="1" x14ac:dyDescent="0.25"/>
    <row r="27" spans="1:3" hidden="1" x14ac:dyDescent="0.25"/>
    <row r="28" spans="1:3" hidden="1" x14ac:dyDescent="0.25"/>
    <row r="29" spans="1:3" hidden="1" x14ac:dyDescent="0.25"/>
    <row r="30" spans="1:3" hidden="1" x14ac:dyDescent="0.25"/>
    <row r="31" spans="1:3" hidden="1" x14ac:dyDescent="0.25"/>
    <row r="32" spans="1:3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1" location="'Ikke-påvirkelige omkostninger'!A1" display="Ikke-påvirkelige omkostninger"/>
    <hyperlink ref="A6" location="'Historiske investeringer'!A1" display="Historiske investeringer"/>
    <hyperlink ref="A7" location="'Gennemførte investeringer'!A1" display="Gennemførte investeringer"/>
    <hyperlink ref="A8" location="'Planlagte investeringer'!A1" display="Planlagte investeringer"/>
    <hyperlink ref="A9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2" bestFit="1" customWidth="1"/>
    <col min="2" max="3" width="15.7109375" style="35" customWidth="1"/>
    <col min="4" max="4" width="22.7109375" style="35" customWidth="1"/>
    <col min="5" max="9" width="15.7109375" style="35" customWidth="1"/>
    <col min="10" max="10" width="29.85546875" style="35" customWidth="1"/>
    <col min="11" max="11" width="44.140625" style="35" customWidth="1"/>
    <col min="12" max="12" width="0" hidden="1" customWidth="1"/>
    <col min="13" max="16384" width="9.140625" hidden="1"/>
  </cols>
  <sheetData>
    <row r="1" spans="1:11" s="60" customFormat="1" ht="60.75" thickBot="1" x14ac:dyDescent="0.3">
      <c r="A1" s="58" t="s">
        <v>13</v>
      </c>
      <c r="B1" s="59" t="s">
        <v>14</v>
      </c>
      <c r="C1" s="59" t="s">
        <v>61</v>
      </c>
      <c r="D1" s="59" t="s">
        <v>62</v>
      </c>
      <c r="E1" s="59" t="s">
        <v>53</v>
      </c>
      <c r="F1" s="52" t="s">
        <v>63</v>
      </c>
      <c r="G1" s="52" t="s">
        <v>72</v>
      </c>
      <c r="H1" s="52" t="s">
        <v>64</v>
      </c>
      <c r="I1" s="52" t="s">
        <v>48</v>
      </c>
      <c r="J1" s="11" t="s">
        <v>65</v>
      </c>
      <c r="K1" s="11" t="s">
        <v>66</v>
      </c>
    </row>
    <row r="2" spans="1:11" s="23" customFormat="1" ht="15.75" thickTop="1" x14ac:dyDescent="0.25">
      <c r="A2" s="28">
        <v>2015</v>
      </c>
      <c r="B2" s="49">
        <v>120672869</v>
      </c>
      <c r="C2" s="49">
        <v>0</v>
      </c>
      <c r="D2" s="49">
        <f>B2+C2</f>
        <v>120672869</v>
      </c>
      <c r="E2" s="50">
        <f>D2</f>
        <v>120672869</v>
      </c>
      <c r="F2" s="49">
        <v>122562537.80848709</v>
      </c>
      <c r="G2" s="49">
        <v>0</v>
      </c>
      <c r="H2" s="49">
        <f>F2-G2</f>
        <v>122562537.80848709</v>
      </c>
      <c r="I2" s="49">
        <f>AVERAGEIF(E2:E4,"&lt;&gt;0")</f>
        <v>120599783.02215464</v>
      </c>
      <c r="J2" s="49">
        <v>98334656.686481595</v>
      </c>
      <c r="K2" s="39">
        <f>IF(H2&gt;I2,IF(I2&gt;J2,I2,J2),H2)</f>
        <v>120599783.02215464</v>
      </c>
    </row>
    <row r="3" spans="1:11" s="23" customFormat="1" x14ac:dyDescent="0.25">
      <c r="A3" s="28">
        <v>2014</v>
      </c>
      <c r="B3" s="49">
        <v>119702263</v>
      </c>
      <c r="C3" s="49"/>
      <c r="D3" s="49">
        <f t="shared" ref="D3:D4" si="0">B3+C3</f>
        <v>119702263</v>
      </c>
      <c r="E3" s="50">
        <f>D3*Pristalsregulering!C7</f>
        <v>119798024.81039999</v>
      </c>
      <c r="F3" s="49"/>
      <c r="G3" s="49"/>
      <c r="H3" s="49">
        <f t="shared" ref="H3:H4" si="1">F3-G3</f>
        <v>0</v>
      </c>
      <c r="I3" s="49"/>
      <c r="J3" s="49"/>
      <c r="K3" s="35"/>
    </row>
    <row r="4" spans="1:11" x14ac:dyDescent="0.25">
      <c r="A4" s="28">
        <v>2013</v>
      </c>
      <c r="B4" s="49">
        <v>119439872</v>
      </c>
      <c r="C4" s="49"/>
      <c r="D4" s="49">
        <f t="shared" si="0"/>
        <v>119439872</v>
      </c>
      <c r="E4" s="50">
        <f>D4*Pristalsregulering!$C$6*Pristalsregulering!$C$7</f>
        <v>121328455.25606397</v>
      </c>
      <c r="F4" s="49"/>
      <c r="G4" s="49"/>
      <c r="H4" s="49">
        <f t="shared" si="1"/>
        <v>0</v>
      </c>
      <c r="I4" s="49"/>
      <c r="J4" s="49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MC9"/>
  <sheetViews>
    <sheetView workbookViewId="0"/>
  </sheetViews>
  <sheetFormatPr defaultColWidth="0" defaultRowHeight="15" zeroHeight="1" x14ac:dyDescent="0.25"/>
  <cols>
    <col min="1" max="1" width="12.28515625" customWidth="1"/>
    <col min="2" max="2" width="30.7109375" customWidth="1"/>
    <col min="3" max="3" width="30.7109375" style="55" customWidth="1"/>
    <col min="4" max="4" width="30.7109375" style="78" customWidth="1"/>
    <col min="5" max="5" width="30.7109375" style="55" customWidth="1"/>
    <col min="6" max="6" width="9.140625" hidden="1" customWidth="1"/>
    <col min="7" max="109" width="0" hidden="1" customWidth="1"/>
    <col min="110" max="110" width="9.140625" hidden="1" customWidth="1"/>
    <col min="111" max="117" width="0" hidden="1" customWidth="1"/>
    <col min="118" max="118" width="9.140625" hidden="1" customWidth="1"/>
    <col min="119" max="221" width="0" hidden="1" customWidth="1"/>
    <col min="222" max="222" width="9.140625" hidden="1" customWidth="1"/>
    <col min="223" max="229" width="0" hidden="1" customWidth="1"/>
    <col min="230" max="230" width="9.140625" hidden="1" customWidth="1"/>
    <col min="231" max="333" width="0" hidden="1" customWidth="1"/>
    <col min="334" max="334" width="9.140625" hidden="1" customWidth="1"/>
    <col min="335" max="341" width="0" hidden="1" customWidth="1"/>
    <col min="342" max="16384" width="9.140625" hidden="1"/>
  </cols>
  <sheetData>
    <row r="1" spans="1:5" s="27" customFormat="1" ht="15.75" thickBot="1" x14ac:dyDescent="0.3">
      <c r="A1" s="9"/>
      <c r="B1" s="33" t="s">
        <v>75</v>
      </c>
      <c r="C1" s="65" t="s">
        <v>76</v>
      </c>
      <c r="D1" s="75" t="s">
        <v>77</v>
      </c>
      <c r="E1" s="65"/>
    </row>
    <row r="2" spans="1:5" ht="15.75" thickTop="1" x14ac:dyDescent="0.25">
      <c r="A2" s="17" t="s">
        <v>13</v>
      </c>
      <c r="B2" s="34" t="s">
        <v>22</v>
      </c>
      <c r="C2" s="56" t="s">
        <v>22</v>
      </c>
      <c r="D2" s="76" t="s">
        <v>22</v>
      </c>
      <c r="E2" s="53" t="s">
        <v>23</v>
      </c>
    </row>
    <row r="3" spans="1:5" s="22" customFormat="1" x14ac:dyDescent="0.25">
      <c r="A3" s="28">
        <v>2016</v>
      </c>
      <c r="B3" s="74"/>
      <c r="C3" s="45">
        <f>B3</f>
        <v>0</v>
      </c>
      <c r="D3" s="77">
        <f>IF(C4=0,0,AVERAGEIF(C4:C6,"&lt;&gt;0"))+C3</f>
        <v>120050.0024</v>
      </c>
      <c r="E3" s="57">
        <f>SUM(D3:D3)</f>
        <v>120050.0024</v>
      </c>
    </row>
    <row r="4" spans="1:5" x14ac:dyDescent="0.25">
      <c r="A4" s="28">
        <v>2015</v>
      </c>
      <c r="B4" s="35">
        <v>113743</v>
      </c>
      <c r="C4" s="45">
        <f>B4</f>
        <v>113743</v>
      </c>
      <c r="D4" s="77"/>
      <c r="E4" s="54"/>
    </row>
    <row r="5" spans="1:5" x14ac:dyDescent="0.25">
      <c r="A5" s="28">
        <v>2014</v>
      </c>
      <c r="B5" s="35">
        <v>126256</v>
      </c>
      <c r="C5" s="45">
        <f>B5*Pristalsregulering!$C$7</f>
        <v>126357.0048</v>
      </c>
      <c r="D5" s="77"/>
      <c r="E5" s="45"/>
    </row>
    <row r="6" spans="1:5" x14ac:dyDescent="0.25">
      <c r="A6" s="28">
        <v>2013</v>
      </c>
      <c r="B6" s="35"/>
      <c r="C6" s="45">
        <f>B6*Pristalsregulering!$C$7*Pristalsregulering!$C$6</f>
        <v>0</v>
      </c>
      <c r="D6" s="77"/>
      <c r="E6" s="45"/>
    </row>
    <row r="7" spans="1:5" hidden="1" x14ac:dyDescent="0.25"/>
    <row r="8" spans="1:5" hidden="1" x14ac:dyDescent="0.25"/>
    <row r="9" spans="1:5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16.140625" style="25" bestFit="1" customWidth="1"/>
    <col min="3" max="3" width="24.28515625" style="25" bestFit="1" customWidth="1"/>
    <col min="4" max="4" width="15.7109375" style="25" customWidth="1"/>
    <col min="5" max="5" width="16.140625" style="25" bestFit="1" customWidth="1"/>
    <col min="6" max="6" width="24.28515625" style="25" bestFit="1" customWidth="1"/>
    <col min="7" max="8" width="15.7109375" style="25" customWidth="1"/>
    <col min="9" max="9" width="9.140625" style="25" hidden="1" customWidth="1"/>
    <col min="10" max="16384" width="9.140625" style="25" hidden="1"/>
  </cols>
  <sheetData>
    <row r="1" spans="1:8" ht="15.75" thickBot="1" x14ac:dyDescent="0.3">
      <c r="A1" s="30"/>
      <c r="B1" s="79" t="s">
        <v>24</v>
      </c>
      <c r="C1" s="80"/>
      <c r="D1" s="80"/>
      <c r="E1" s="81" t="s">
        <v>54</v>
      </c>
      <c r="F1" s="82"/>
      <c r="G1" s="83"/>
      <c r="H1" s="29"/>
    </row>
    <row r="2" spans="1:8" s="21" customFormat="1" ht="15.75" thickTop="1" x14ac:dyDescent="0.25">
      <c r="A2" s="19" t="s">
        <v>13</v>
      </c>
      <c r="B2" s="16" t="s">
        <v>25</v>
      </c>
      <c r="C2" s="20" t="s">
        <v>26</v>
      </c>
      <c r="D2" s="20" t="s">
        <v>27</v>
      </c>
      <c r="E2" s="16" t="s">
        <v>25</v>
      </c>
      <c r="F2" s="20" t="s">
        <v>26</v>
      </c>
      <c r="G2" s="46" t="s">
        <v>27</v>
      </c>
      <c r="H2" s="6" t="s">
        <v>29</v>
      </c>
    </row>
    <row r="3" spans="1:8" x14ac:dyDescent="0.25">
      <c r="A3" s="31">
        <v>2015</v>
      </c>
      <c r="B3" s="41">
        <v>25000</v>
      </c>
      <c r="C3" s="42">
        <v>215264</v>
      </c>
      <c r="D3" s="42">
        <v>0</v>
      </c>
      <c r="E3" s="41">
        <f>B3</f>
        <v>25000</v>
      </c>
      <c r="F3" s="42">
        <f t="shared" ref="F3:G3" si="0">C3</f>
        <v>215264</v>
      </c>
      <c r="G3" s="43">
        <f t="shared" si="0"/>
        <v>0</v>
      </c>
      <c r="H3" s="44">
        <f>IF(E3=0,0,AVERAGEIF(E3:E5,"&lt;&gt;0"))+IF(F3=0,0,AVERAGEIF(F3:F5,"&lt;&gt;0"))+IF(G3=0,0,AVERAGEIF(G3:G5,"&lt;&gt;0"))</f>
        <v>248455.06598399999</v>
      </c>
    </row>
    <row r="4" spans="1:8" x14ac:dyDescent="0.25">
      <c r="A4" s="31">
        <v>2014</v>
      </c>
      <c r="B4" s="41">
        <v>25000</v>
      </c>
      <c r="C4" s="42">
        <v>221993</v>
      </c>
      <c r="D4" s="42">
        <v>0</v>
      </c>
      <c r="E4" s="41">
        <f>B4*Pristalsregulering!$C$7</f>
        <v>25019.999999999996</v>
      </c>
      <c r="F4" s="42">
        <f>C4*Pristalsregulering!$C$7</f>
        <v>222170.59439999997</v>
      </c>
      <c r="G4" s="43">
        <f>D4*Pristalsregulering!$C$7</f>
        <v>0</v>
      </c>
      <c r="H4" s="42"/>
    </row>
    <row r="5" spans="1:8" x14ac:dyDescent="0.25">
      <c r="A5" s="31">
        <v>2013</v>
      </c>
      <c r="B5" s="41">
        <v>25518</v>
      </c>
      <c r="C5" s="42">
        <v>228378</v>
      </c>
      <c r="D5" s="42">
        <v>0</v>
      </c>
      <c r="E5" s="41">
        <f>B5*Pristalsregulering!$C$7*Pristalsregulering!$C$6</f>
        <v>25921.490615999995</v>
      </c>
      <c r="F5" s="42">
        <f>C5*Pristalsregulering!$C$7*Pristalsregulering!$C$6</f>
        <v>231989.11293599996</v>
      </c>
      <c r="G5" s="43">
        <f>D5*Pristalsregulering!$C$7*Pristalsregulering!$C$6</f>
        <v>0</v>
      </c>
      <c r="H5" s="42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2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2" customFormat="1" ht="15.75" thickBot="1" x14ac:dyDescent="0.3">
      <c r="A1" s="73"/>
      <c r="B1" s="82" t="s">
        <v>69</v>
      </c>
      <c r="C1" s="82"/>
      <c r="D1" s="83"/>
      <c r="E1" s="84" t="s">
        <v>70</v>
      </c>
      <c r="F1" s="84"/>
      <c r="G1" s="84"/>
    </row>
    <row r="2" spans="1:7" s="22" customFormat="1" ht="15.75" thickTop="1" x14ac:dyDescent="0.25">
      <c r="A2" s="71" t="s">
        <v>13</v>
      </c>
      <c r="B2" s="23" t="s">
        <v>67</v>
      </c>
      <c r="C2" s="23" t="s">
        <v>1</v>
      </c>
      <c r="D2" s="28" t="s">
        <v>68</v>
      </c>
      <c r="E2" s="22" t="s">
        <v>0</v>
      </c>
      <c r="F2" s="22" t="s">
        <v>1</v>
      </c>
      <c r="G2" s="22" t="s">
        <v>2</v>
      </c>
    </row>
    <row r="3" spans="1:7" s="22" customFormat="1" x14ac:dyDescent="0.25">
      <c r="A3" s="72">
        <v>2015</v>
      </c>
      <c r="B3" s="38">
        <v>158562026.0444726</v>
      </c>
      <c r="C3" s="38">
        <v>42187682.24233333</v>
      </c>
      <c r="D3" s="40">
        <v>6461306.666666667</v>
      </c>
      <c r="E3" s="35">
        <f>B3*Pristalsregulering!C2*Pristalsregulering!C3*Pristalsregulering!C4*Pristalsregulering!C5*Pristalsregulering!C6*Pristalsregulering!C7</f>
        <v>172626313.65421945</v>
      </c>
      <c r="F3" s="35">
        <v>43228263</v>
      </c>
      <c r="G3" s="35">
        <f>D3</f>
        <v>6461306.666666667</v>
      </c>
    </row>
    <row r="4" spans="1:7" s="22" customFormat="1" hidden="1" x14ac:dyDescent="0.25">
      <c r="A4" s="23"/>
      <c r="B4" s="23"/>
      <c r="C4" s="23"/>
      <c r="D4" s="23"/>
    </row>
    <row r="5" spans="1:7" s="26" customFormat="1" hidden="1" x14ac:dyDescent="0.25">
      <c r="A5" s="6"/>
      <c r="B5" s="6"/>
      <c r="C5" s="6"/>
      <c r="D5" s="32"/>
    </row>
    <row r="6" spans="1:7" hidden="1" x14ac:dyDescent="0.25">
      <c r="A6" s="25"/>
      <c r="B6" s="70"/>
      <c r="C6" s="42"/>
      <c r="D6" s="23"/>
    </row>
    <row r="7" spans="1:7" hidden="1" x14ac:dyDescent="0.25">
      <c r="A7" s="25"/>
      <c r="B7" s="25"/>
      <c r="C7" s="25"/>
      <c r="D7" s="23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8" customWidth="1"/>
    <col min="6" max="7" width="15.7109375" customWidth="1"/>
    <col min="8" max="8" width="18.140625" bestFit="1" customWidth="1"/>
    <col min="9" max="9" width="15.7109375" style="28" customWidth="1"/>
    <col min="10" max="11" width="15.7109375" customWidth="1"/>
    <col min="12" max="12" width="15.7109375" style="28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0"/>
      <c r="B1" s="79" t="s">
        <v>40</v>
      </c>
      <c r="C1" s="80"/>
      <c r="D1" s="80"/>
      <c r="E1" s="80"/>
      <c r="F1" s="81" t="s">
        <v>55</v>
      </c>
      <c r="G1" s="82"/>
      <c r="H1" s="82"/>
      <c r="I1" s="82"/>
      <c r="J1" s="85" t="s">
        <v>29</v>
      </c>
      <c r="K1" s="84"/>
      <c r="L1" s="86"/>
      <c r="M1" s="13"/>
    </row>
    <row r="2" spans="1:14" s="26" customFormat="1" ht="15.75" thickTop="1" x14ac:dyDescent="0.25">
      <c r="A2" s="19" t="s">
        <v>13</v>
      </c>
      <c r="B2" s="8" t="s">
        <v>41</v>
      </c>
      <c r="C2" s="7" t="s">
        <v>42</v>
      </c>
      <c r="D2" s="7" t="s">
        <v>43</v>
      </c>
      <c r="E2" s="51" t="s">
        <v>44</v>
      </c>
      <c r="F2" s="7" t="s">
        <v>41</v>
      </c>
      <c r="G2" s="7" t="s">
        <v>42</v>
      </c>
      <c r="H2" s="7" t="s">
        <v>43</v>
      </c>
      <c r="I2" s="51" t="s">
        <v>44</v>
      </c>
      <c r="J2" s="20" t="s">
        <v>45</v>
      </c>
      <c r="K2" s="20" t="s">
        <v>42</v>
      </c>
      <c r="L2" s="15" t="s">
        <v>73</v>
      </c>
      <c r="M2" s="6" t="s">
        <v>28</v>
      </c>
      <c r="N2" s="32"/>
    </row>
    <row r="3" spans="1:14" x14ac:dyDescent="0.25">
      <c r="A3" s="28">
        <v>2015</v>
      </c>
      <c r="B3" s="45">
        <v>805774</v>
      </c>
      <c r="C3" s="38">
        <v>24524645</v>
      </c>
      <c r="D3" s="38">
        <v>25298</v>
      </c>
      <c r="E3" s="40">
        <v>0</v>
      </c>
      <c r="F3" s="38">
        <f>B3</f>
        <v>805774</v>
      </c>
      <c r="G3" s="38">
        <f>C3</f>
        <v>24524645</v>
      </c>
      <c r="H3" s="38">
        <f>D3</f>
        <v>25298</v>
      </c>
      <c r="I3" s="40">
        <f>E3</f>
        <v>0</v>
      </c>
      <c r="J3" s="42">
        <f>AVERAGE(F3:F5)</f>
        <v>268591.33333333331</v>
      </c>
      <c r="K3" s="42">
        <f>G3</f>
        <v>24524645</v>
      </c>
      <c r="L3" s="43">
        <f>AVERAGE(H3:H5)+AVERAGE(I3:I5)</f>
        <v>130102.59146666666</v>
      </c>
      <c r="M3" s="44">
        <f>SUM(J3:L3)</f>
        <v>24923338.924799997</v>
      </c>
      <c r="N3" s="23"/>
    </row>
    <row r="4" spans="1:14" x14ac:dyDescent="0.25">
      <c r="A4" s="28">
        <v>2014</v>
      </c>
      <c r="B4" s="45">
        <v>0</v>
      </c>
      <c r="C4" s="38">
        <v>21523017</v>
      </c>
      <c r="D4" s="38">
        <v>364718</v>
      </c>
      <c r="E4" s="40">
        <v>0</v>
      </c>
      <c r="F4" s="38">
        <f>IF(B4="","",B4*Pristalsregulering!$C$7)</f>
        <v>0</v>
      </c>
      <c r="G4" s="38">
        <f>IF(C4="","",C4*Pristalsregulering!$C$7)</f>
        <v>21540235.413599998</v>
      </c>
      <c r="H4" s="38">
        <f>IF(D4="","",D4*Pristalsregulering!$C$7)</f>
        <v>365009.77439999999</v>
      </c>
      <c r="I4" s="40">
        <f>IF(E4="","",E4*Pristalsregulering!$C$7)</f>
        <v>0</v>
      </c>
      <c r="J4" s="38"/>
      <c r="L4" s="40"/>
      <c r="M4" s="35"/>
    </row>
    <row r="5" spans="1:14" x14ac:dyDescent="0.25">
      <c r="A5" s="28">
        <v>2013</v>
      </c>
      <c r="B5" s="45">
        <v>0</v>
      </c>
      <c r="C5" s="38">
        <v>18851548</v>
      </c>
      <c r="D5" s="38">
        <v>0</v>
      </c>
      <c r="E5" s="40">
        <v>0</v>
      </c>
      <c r="F5" s="38">
        <f>IF(B5="","",B5*Pristalsregulering!$C$7*Pristalsregulering!$C$6)</f>
        <v>0</v>
      </c>
      <c r="G5" s="38">
        <f>IF(C5="","",C5*Pristalsregulering!$C$7*Pristalsregulering!$C$6)</f>
        <v>19149628.676975995</v>
      </c>
      <c r="H5" s="38">
        <f>IF(D5="","",D5*Pristalsregulering!$C$7*Pristalsregulering!$C$6)</f>
        <v>0</v>
      </c>
      <c r="I5" s="40">
        <f>IF(E5="","",E5*Pristalsregulering!$C$7*Pristalsregulering!$C$6)</f>
        <v>0</v>
      </c>
      <c r="J5" s="35"/>
      <c r="L5" s="40"/>
      <c r="M5" s="35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34.28515625" style="25" bestFit="1" customWidth="1"/>
    <col min="3" max="3" width="24" style="25" bestFit="1" customWidth="1"/>
    <col min="4" max="4" width="16.42578125" style="25" bestFit="1" customWidth="1"/>
    <col min="5" max="5" width="23.7109375" style="25" bestFit="1" customWidth="1"/>
    <col min="6" max="6" width="15.7109375" style="25" customWidth="1"/>
    <col min="7" max="7" width="25" style="25" bestFit="1" customWidth="1"/>
    <col min="8" max="8" width="16.5703125" style="25" bestFit="1" customWidth="1"/>
    <col min="9" max="9" width="51.7109375" style="25" bestFit="1" customWidth="1"/>
    <col min="10" max="10" width="44.5703125" style="25" bestFit="1" customWidth="1"/>
    <col min="11" max="11" width="44.5703125" style="25" customWidth="1"/>
    <col min="12" max="12" width="16.85546875" style="31" bestFit="1" customWidth="1"/>
    <col min="13" max="13" width="15.7109375" style="25" customWidth="1"/>
    <col min="14" max="17" width="0" style="25" hidden="1" customWidth="1"/>
    <col min="18" max="16384" width="9.140625" style="25" hidden="1"/>
  </cols>
  <sheetData>
    <row r="1" spans="1:13" s="21" customFormat="1" ht="15.75" thickBot="1" x14ac:dyDescent="0.3">
      <c r="A1" s="12" t="s">
        <v>13</v>
      </c>
      <c r="B1" s="68" t="s">
        <v>30</v>
      </c>
      <c r="C1" s="68" t="s">
        <v>31</v>
      </c>
      <c r="D1" s="68" t="s">
        <v>32</v>
      </c>
      <c r="E1" s="68" t="s">
        <v>33</v>
      </c>
      <c r="F1" s="68" t="s">
        <v>34</v>
      </c>
      <c r="G1" s="68" t="s">
        <v>35</v>
      </c>
      <c r="H1" s="68" t="s">
        <v>36</v>
      </c>
      <c r="I1" s="68" t="s">
        <v>37</v>
      </c>
      <c r="J1" s="68" t="s">
        <v>38</v>
      </c>
      <c r="K1" s="68" t="s">
        <v>56</v>
      </c>
      <c r="L1" s="69" t="s">
        <v>39</v>
      </c>
      <c r="M1" s="14" t="s">
        <v>28</v>
      </c>
    </row>
    <row r="2" spans="1:13" ht="15.75" thickTop="1" x14ac:dyDescent="0.25">
      <c r="A2" s="31">
        <v>2015</v>
      </c>
      <c r="B2" s="42">
        <v>16262</v>
      </c>
      <c r="C2" s="42">
        <v>661893</v>
      </c>
      <c r="D2" s="42">
        <v>1185780</v>
      </c>
      <c r="E2" s="42">
        <v>0</v>
      </c>
      <c r="F2" s="42">
        <v>0</v>
      </c>
      <c r="G2" s="42">
        <v>0</v>
      </c>
      <c r="H2" s="42">
        <v>6942227</v>
      </c>
      <c r="I2" s="42">
        <v>0</v>
      </c>
      <c r="J2" s="42"/>
      <c r="K2" s="42"/>
      <c r="L2" s="43">
        <v>0</v>
      </c>
      <c r="M2" s="44">
        <f>SUM(B2:L2)</f>
        <v>8806162</v>
      </c>
    </row>
    <row r="3" spans="1:13" hidden="1" x14ac:dyDescent="0.25">
      <c r="B3" s="25">
        <v>32490</v>
      </c>
      <c r="C3" s="25">
        <v>0</v>
      </c>
      <c r="D3" s="25">
        <v>0</v>
      </c>
      <c r="E3" s="25">
        <v>0</v>
      </c>
      <c r="F3" s="25">
        <v>210959</v>
      </c>
      <c r="G3" s="25">
        <v>1661218</v>
      </c>
      <c r="H3" s="25" t="s">
        <v>46</v>
      </c>
    </row>
    <row r="4" spans="1:13" hidden="1" x14ac:dyDescent="0.25">
      <c r="B4" s="25">
        <v>32328</v>
      </c>
      <c r="C4" s="25">
        <v>0</v>
      </c>
      <c r="D4" s="25">
        <v>0</v>
      </c>
      <c r="E4" s="25">
        <v>0</v>
      </c>
      <c r="F4" s="25">
        <v>0</v>
      </c>
      <c r="G4" s="25">
        <v>1602946</v>
      </c>
      <c r="H4" s="25" t="s">
        <v>46</v>
      </c>
    </row>
    <row r="5" spans="1:13" hidden="1" x14ac:dyDescent="0.25">
      <c r="B5" s="25" t="e">
        <v>#N/A</v>
      </c>
      <c r="C5" s="25" t="e">
        <v>#N/A</v>
      </c>
      <c r="D5" s="25" t="e">
        <v>#N/A</v>
      </c>
      <c r="E5" s="25" t="e">
        <v>#N/A</v>
      </c>
      <c r="F5" s="25" t="e">
        <v>#N/A</v>
      </c>
      <c r="G5" s="25" t="e">
        <v>#N/A</v>
      </c>
      <c r="H5" s="25" t="e">
        <v>#N/A</v>
      </c>
      <c r="I5" s="25" t="e">
        <v>#N/A</v>
      </c>
      <c r="J5" s="25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B28"/>
  <sheetViews>
    <sheetView workbookViewId="0"/>
  </sheetViews>
  <sheetFormatPr defaultColWidth="0" defaultRowHeight="15" zeroHeight="1" x14ac:dyDescent="0.25"/>
  <cols>
    <col min="1" max="1" width="38.85546875" customWidth="1"/>
    <col min="2" max="2" width="18" style="35" bestFit="1" customWidth="1"/>
    <col min="3" max="16384" width="9.140625" hidden="1"/>
  </cols>
  <sheetData>
    <row r="1" spans="1:2" x14ac:dyDescent="0.25">
      <c r="A1" s="63" t="s">
        <v>57</v>
      </c>
      <c r="B1" s="64" t="s">
        <v>58</v>
      </c>
    </row>
    <row r="2" spans="1:2" x14ac:dyDescent="0.25">
      <c r="A2" s="23" t="s">
        <v>74</v>
      </c>
      <c r="B2" s="35">
        <v>354000</v>
      </c>
    </row>
    <row r="3" spans="1:2" hidden="1" x14ac:dyDescent="0.25"/>
    <row r="4" spans="1:2" hidden="1" x14ac:dyDescent="0.25"/>
    <row r="5" spans="1:2" hidden="1" x14ac:dyDescent="0.25"/>
    <row r="6" spans="1:2" hidden="1" x14ac:dyDescent="0.25"/>
    <row r="7" spans="1:2" hidden="1" x14ac:dyDescent="0.25"/>
    <row r="8" spans="1:2" hidden="1" x14ac:dyDescent="0.25"/>
    <row r="9" spans="1:2" hidden="1" x14ac:dyDescent="0.25"/>
    <row r="10" spans="1:2" hidden="1" x14ac:dyDescent="0.25"/>
    <row r="11" spans="1:2" hidden="1" x14ac:dyDescent="0.25"/>
    <row r="12" spans="1:2" hidden="1" x14ac:dyDescent="0.25"/>
    <row r="13" spans="1:2" hidden="1" x14ac:dyDescent="0.25"/>
    <row r="14" spans="1:2" hidden="1" x14ac:dyDescent="0.25"/>
    <row r="15" spans="1:2" hidden="1" x14ac:dyDescent="0.25"/>
    <row r="16" spans="1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</sheetData>
  <sheetProtection password="C6BD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2" bestFit="1" customWidth="1"/>
    <col min="2" max="2" width="12.42578125" style="22" bestFit="1" customWidth="1"/>
    <col min="3" max="3" width="15.42578125" style="22" bestFit="1" customWidth="1"/>
    <col min="4" max="4" width="0" style="22" hidden="1" customWidth="1"/>
    <col min="5" max="16384" width="9.140625" style="22" hidden="1"/>
  </cols>
  <sheetData>
    <row r="1" spans="1:4" ht="15.75" thickBot="1" x14ac:dyDescent="0.3">
      <c r="A1" s="9" t="s">
        <v>13</v>
      </c>
      <c r="B1" s="10" t="s">
        <v>15</v>
      </c>
      <c r="C1" s="10" t="s">
        <v>16</v>
      </c>
      <c r="D1" s="23"/>
    </row>
    <row r="2" spans="1:4" ht="15.75" thickTop="1" x14ac:dyDescent="0.25">
      <c r="A2" s="66" t="s">
        <v>59</v>
      </c>
      <c r="B2" s="67">
        <v>1.11E-2</v>
      </c>
      <c r="C2" s="23">
        <f t="shared" ref="C2" si="0">1+B2</f>
        <v>1.0111000000000001</v>
      </c>
      <c r="D2" s="23"/>
    </row>
    <row r="3" spans="1:4" x14ac:dyDescent="0.25">
      <c r="A3" s="28" t="s">
        <v>17</v>
      </c>
      <c r="B3" s="23">
        <v>5.0000000000000001E-3</v>
      </c>
      <c r="C3" s="23">
        <f t="shared" ref="C3:C6" si="1">1+B3</f>
        <v>1.0049999999999999</v>
      </c>
      <c r="D3" s="23"/>
    </row>
    <row r="4" spans="1:4" x14ac:dyDescent="0.25">
      <c r="A4" s="28" t="s">
        <v>18</v>
      </c>
      <c r="B4" s="23">
        <v>2.3E-2</v>
      </c>
      <c r="C4" s="23">
        <f t="shared" si="1"/>
        <v>1.0229999999999999</v>
      </c>
      <c r="D4" s="23"/>
    </row>
    <row r="5" spans="1:4" x14ac:dyDescent="0.25">
      <c r="A5" s="28" t="s">
        <v>19</v>
      </c>
      <c r="B5" s="23">
        <v>3.1E-2</v>
      </c>
      <c r="C5" s="23">
        <f t="shared" si="1"/>
        <v>1.0309999999999999</v>
      </c>
      <c r="D5" s="23"/>
    </row>
    <row r="6" spans="1:4" x14ac:dyDescent="0.25">
      <c r="A6" s="28" t="s">
        <v>20</v>
      </c>
      <c r="B6" s="23">
        <v>1.4999999999999999E-2</v>
      </c>
      <c r="C6" s="23">
        <f t="shared" si="1"/>
        <v>1.0149999999999999</v>
      </c>
      <c r="D6" s="23"/>
    </row>
    <row r="7" spans="1:4" x14ac:dyDescent="0.25">
      <c r="A7" s="28" t="s">
        <v>21</v>
      </c>
      <c r="B7" s="23">
        <v>8.0000000000000004E-4</v>
      </c>
      <c r="C7" s="23">
        <f>1+B7</f>
        <v>1.0007999999999999</v>
      </c>
      <c r="D7" s="23"/>
    </row>
    <row r="8" spans="1:4" x14ac:dyDescent="0.25">
      <c r="A8" s="28" t="s">
        <v>50</v>
      </c>
      <c r="B8" s="25">
        <v>-3.8E-3</v>
      </c>
      <c r="C8" s="23">
        <f t="shared" ref="C8:C9" si="2">1+B8</f>
        <v>0.99619999999999997</v>
      </c>
      <c r="D8" s="23"/>
    </row>
    <row r="9" spans="1:4" x14ac:dyDescent="0.25">
      <c r="A9" s="28" t="s">
        <v>51</v>
      </c>
      <c r="B9" s="25">
        <v>1.2699999999999999E-2</v>
      </c>
      <c r="C9" s="23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Grundlag</vt:lpstr>
      <vt:lpstr>Faktiske driftsomkostninger</vt:lpstr>
      <vt:lpstr>Miljø- og servicemål</vt:lpstr>
      <vt:lpstr>Revisorerklæringer mm.</vt:lpstr>
      <vt:lpstr>Investeringer</vt:lpstr>
      <vt:lpstr>Finansielle omkostninger</vt:lpstr>
      <vt:lpstr>Ikke-påvirkelige omkostninger</vt:lpstr>
      <vt:lpstr>Medfinansiering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2016-12-12T16:50:09Z</dcterms:modified>
</cp:coreProperties>
</file>