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l="1"/>
  <c r="M3" i="24"/>
  <c r="B10" i="12" s="1"/>
  <c r="B11" i="12" s="1"/>
  <c r="H3" i="17"/>
  <c r="B4" i="12" s="1"/>
  <c r="I2" i="15"/>
  <c r="K2" i="15" s="1"/>
  <c r="B2" i="12" s="1"/>
  <c r="E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<sst xmlns="http://schemas.openxmlformats.org/spreadsheetml/2006/main" count="112" uniqueCount="76">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</sst>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31" xfId="0" applyFont="1" applyBorder="1"/>
    <xf numFmtId="0" fontId="0" fillId="0" borderId="30" xfId="0" applyFont="1" applyBorder="1" applyAlignment="1">
      <alignment wrapText="1"/>
    </xf>
    <xf numFmtId="164" fontId="0" fillId="0" borderId="30" xfId="27368" applyNumberFormat="1" applyFont="1" applyBorder="1"/>
    <xf numFmtId="0" fontId="0" fillId="0" borderId="30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27062433.499245342</v>
      </c>
      <c r="C2" t="s">
        <v>11</v>
      </c>
    </row>
    <row r="3" spans="1:3" s="2" customFormat="1" x14ac:dyDescent="0.25">
      <c r="A3" s="6" t="s">
        <v>8</v>
      </c>
      <c r="B3" s="39">
        <f>'Miljø- og servicemål'!E3</f>
        <v>501254.78399999999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118041.89319999999</v>
      </c>
      <c r="C4" t="s">
        <v>11</v>
      </c>
    </row>
    <row r="5" spans="1:3" s="29" customFormat="1" x14ac:dyDescent="0.25">
      <c r="A5" s="5" t="s">
        <v>51</v>
      </c>
      <c r="B5" s="38">
        <f>'Periodevise driftsomkostninger'!B2</f>
        <v>935477.8566451493</v>
      </c>
      <c r="C5" s="3" t="s">
        <v>11</v>
      </c>
    </row>
    <row r="6" spans="1:3" s="29" customFormat="1" x14ac:dyDescent="0.25">
      <c r="A6" s="4" t="s">
        <v>12</v>
      </c>
      <c r="B6" s="51">
        <f>SUM(B2:B5)</f>
        <v>28617208.033090487</v>
      </c>
      <c r="C6" s="65" t="s">
        <v>11</v>
      </c>
    </row>
    <row r="7" spans="1:3" x14ac:dyDescent="0.25">
      <c r="A7" s="50" t="s">
        <v>0</v>
      </c>
      <c r="B7" s="41">
        <f>Investeringer!E3</f>
        <v>47138757.406942628</v>
      </c>
      <c r="C7" s="26" t="s">
        <v>11</v>
      </c>
    </row>
    <row r="8" spans="1:3" x14ac:dyDescent="0.25">
      <c r="A8" s="5" t="s">
        <v>1</v>
      </c>
      <c r="B8" s="38">
        <f>Investeringer!F3</f>
        <v>6386614.1354160095</v>
      </c>
      <c r="C8" t="s">
        <v>11</v>
      </c>
    </row>
    <row r="9" spans="1:3" x14ac:dyDescent="0.25">
      <c r="A9" s="5" t="s">
        <v>2</v>
      </c>
      <c r="B9" s="38">
        <f>Investeringer!G3</f>
        <v>844000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402714</v>
      </c>
      <c r="C10" t="s">
        <v>11</v>
      </c>
    </row>
    <row r="11" spans="1:3" s="25" customFormat="1" x14ac:dyDescent="0.25">
      <c r="A11" s="4" t="s">
        <v>47</v>
      </c>
      <c r="B11" s="51">
        <f>SUM(B7:B10)</f>
        <v>54772085.542358637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3336833</v>
      </c>
      <c r="C12" t="s">
        <v>11</v>
      </c>
    </row>
    <row r="13" spans="1:3" s="25" customFormat="1" x14ac:dyDescent="0.25">
      <c r="A13" s="4" t="s">
        <v>70</v>
      </c>
      <c r="B13" s="51">
        <f>SUM(B12:B12)</f>
        <v>3336833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59</v>
      </c>
      <c r="B15" s="40">
        <f>SUM(B6,B11,B13)</f>
        <v>86726126.575449124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53</v>
      </c>
      <c r="B17" s="40">
        <f>B15*Pristalsregulering!C8*Pristalsregulering!C9</f>
        <v>87493803.699102074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60</v>
      </c>
      <c r="D1" s="62" t="s">
        <v>61</v>
      </c>
      <c r="E1" s="62" t="s">
        <v>54</v>
      </c>
      <c r="F1" s="55" t="s">
        <v>62</v>
      </c>
      <c r="G1" s="55" t="s">
        <v>71</v>
      </c>
      <c r="H1" s="55" t="s">
        <v>63</v>
      </c>
      <c r="I1" s="55" t="s">
        <v>48</v>
      </c>
      <c r="J1" s="14" t="s">
        <v>64</v>
      </c>
      <c r="K1" s="14" t="s">
        <v>65</v>
      </c>
    </row>
    <row r="2" spans="1:11" s="26" customFormat="1" ht="15.75" thickTop="1" x14ac:dyDescent="0.25">
      <c r="A2" s="31">
        <v>2015</v>
      </c>
      <c r="B2" s="52">
        <v>33223920</v>
      </c>
      <c r="C2" s="52">
        <v>0</v>
      </c>
      <c r="D2" s="52">
        <f>B2+C2</f>
        <v>33223920</v>
      </c>
      <c r="E2" s="53">
        <f>D2</f>
        <v>33223920</v>
      </c>
      <c r="F2" s="52">
        <v>27997911.35589049</v>
      </c>
      <c r="G2" s="52">
        <v>935477.8566451493</v>
      </c>
      <c r="H2" s="52">
        <f>F2-G2</f>
        <v>27062433.499245342</v>
      </c>
      <c r="I2" s="52">
        <f>AVERAGEIF(E2:E4,"&lt;&gt;0")</f>
        <v>31785385.483771998</v>
      </c>
      <c r="J2" s="52">
        <v>20115475.77924788</v>
      </c>
      <c r="K2" s="42">
        <f>IF(H2&gt;I2,IF(I2&gt;J2,I2,J2),H2)</f>
        <v>27062433.499245342</v>
      </c>
    </row>
    <row r="3" spans="1:11" s="26" customFormat="1" x14ac:dyDescent="0.25">
      <c r="A3" s="31">
        <v>2014</v>
      </c>
      <c r="B3" s="52">
        <v>30480654</v>
      </c>
      <c r="C3" s="52"/>
      <c r="D3" s="52">
        <f t="shared" ref="D3:D4" si="0">B3+C3</f>
        <v>30480654</v>
      </c>
      <c r="E3" s="53">
        <f>D3*Pristalsregulering!C7</f>
        <v>30505038.523199998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31134893</v>
      </c>
      <c r="C4" s="52"/>
      <c r="D4" s="52">
        <f t="shared" si="0"/>
        <v>31134893</v>
      </c>
      <c r="E4" s="53">
        <f>D4*Pristalsregulering!$C$6*Pristalsregulering!$C$7</f>
        <v>31627197.928115994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8" customWidth="1"/>
    <col min="4" max="4" width="30.7109375" style="87" customWidth="1"/>
    <col min="5" max="5" width="30.7109375" style="58" customWidth="1"/>
    <col min="6" max="6" width="9.140625" hidden="1" customWidth="1"/>
    <col min="57" max="57" width="9.140625" hidden="1"/>
    <col min="118" max="118" width="9.140625" hidden="1"/>
    <col min="169" max="169" width="9.140625" hidden="1"/>
    <col min="230" max="230" width="9.140625" hidden="1"/>
    <col min="281" max="281" width="9.140625" hidden="1"/>
    <col min="291" max="291" width="9.140625" hidden="1"/>
    <col min="342" max="16384" width="9.140625" hidden="1"/>
  </cols>
  <sheetData>
    <row r="1" spans="1:5" s="30" customFormat="1" ht="15.75" thickBot="1" x14ac:dyDescent="0.3">
      <c r="A1" s="10"/>
      <c r="B1" s="36" t="s">
        <v>73</v>
      </c>
      <c r="C1" s="66" t="s">
        <v>74</v>
      </c>
      <c r="D1" s="84" t="s">
        <v>75</v>
      </c>
      <c r="E1" s="66"/>
    </row>
    <row r="2" spans="1:5" ht="15.75" thickTop="1" x14ac:dyDescent="0.25">
      <c r="A2" s="20" t="s">
        <v>13</v>
      </c>
      <c r="B2" s="37" t="s">
        <v>22</v>
      </c>
      <c r="C2" s="59" t="s">
        <v>22</v>
      </c>
      <c r="D2" s="85" t="s">
        <v>22</v>
      </c>
      <c r="E2" s="56" t="s">
        <v>23</v>
      </c>
    </row>
    <row r="3" spans="1:5" s="25" customFormat="1" x14ac:dyDescent="0.25">
      <c r="A3" s="31">
        <v>2016</v>
      </c>
      <c r="B3" s="75"/>
      <c r="C3" s="48">
        <f>B3</f>
        <v>0</v>
      </c>
      <c r="D3" s="86">
        <f>IF(C4=0,0,AVERAGEIF(C4:C6,"&lt;&gt;0"))+C3</f>
        <v>501254.78399999999</v>
      </c>
      <c r="E3" s="60">
        <f>SUM(D3:D3)</f>
        <v>501254.78399999999</v>
      </c>
    </row>
    <row r="4" spans="1:5" x14ac:dyDescent="0.25">
      <c r="A4" s="31">
        <v>2015</v>
      </c>
      <c r="B4" s="38">
        <v>536427</v>
      </c>
      <c r="C4" s="48">
        <f>B4</f>
        <v>536427</v>
      </c>
      <c r="D4" s="86"/>
      <c r="E4" s="57"/>
    </row>
    <row r="5" spans="1:5" x14ac:dyDescent="0.25">
      <c r="A5" s="31">
        <v>2014</v>
      </c>
      <c r="B5" s="38">
        <v>465710</v>
      </c>
      <c r="C5" s="48">
        <f>B5*Pristalsregulering!$C$7</f>
        <v>466082.56799999997</v>
      </c>
      <c r="D5" s="86"/>
      <c r="E5" s="48"/>
    </row>
    <row r="6" spans="1:5" x14ac:dyDescent="0.25">
      <c r="A6" s="31">
        <v>2013</v>
      </c>
      <c r="B6" s="38"/>
      <c r="C6" s="48">
        <f>B6*Pristalsregulering!$C$7*Pristalsregulering!$C$6</f>
        <v>0</v>
      </c>
      <c r="D6" s="86"/>
      <c r="E6" s="48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24</v>
      </c>
      <c r="C1" s="77"/>
      <c r="D1" s="77"/>
      <c r="E1" s="78" t="s">
        <v>55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25</v>
      </c>
      <c r="C2" s="23" t="s">
        <v>26</v>
      </c>
      <c r="D2" s="23" t="s">
        <v>27</v>
      </c>
      <c r="E2" s="19" t="s">
        <v>25</v>
      </c>
      <c r="F2" s="23" t="s">
        <v>26</v>
      </c>
      <c r="G2" s="49" t="s">
        <v>27</v>
      </c>
      <c r="H2" s="7" t="s">
        <v>29</v>
      </c>
    </row>
    <row r="3" spans="1:8" x14ac:dyDescent="0.25">
      <c r="A3" s="34">
        <v>2015</v>
      </c>
      <c r="B3" s="44">
        <v>12300</v>
      </c>
      <c r="C3" s="45">
        <v>77640</v>
      </c>
      <c r="D3" s="45">
        <v>0</v>
      </c>
      <c r="E3" s="44">
        <f>B3</f>
        <v>12300</v>
      </c>
      <c r="F3" s="45">
        <f t="shared" ref="F3:G3" si="0">C3</f>
        <v>77640</v>
      </c>
      <c r="G3" s="46">
        <f t="shared" si="0"/>
        <v>0</v>
      </c>
      <c r="H3" s="47">
        <f>IF(E3=0,0,AVERAGEIF(E3:E5,"&lt;&gt;0"))+IF(F3=0,0,AVERAGEIF(F3:F5,"&lt;&gt;0"))+IF(G3=0,0,AVERAGEIF(G3:G5,"&lt;&gt;0"))</f>
        <v>118041.89319999999</v>
      </c>
    </row>
    <row r="4" spans="1:8" x14ac:dyDescent="0.25">
      <c r="A4" s="34">
        <v>2014</v>
      </c>
      <c r="B4" s="44">
        <v>9045</v>
      </c>
      <c r="C4" s="45">
        <v>117600</v>
      </c>
      <c r="D4" s="45">
        <v>0</v>
      </c>
      <c r="E4" s="44">
        <f>B4*Pristalsregulering!$C$7</f>
        <v>9052.235999999999</v>
      </c>
      <c r="F4" s="45">
        <f>C4*Pristalsregulering!$C$7</f>
        <v>117694.07999999999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22500</v>
      </c>
      <c r="C5" s="45">
        <v>112800</v>
      </c>
      <c r="D5" s="45">
        <v>0</v>
      </c>
      <c r="E5" s="44">
        <f>B5*Pristalsregulering!$C$7*Pristalsregulering!$C$6</f>
        <v>22855.769999999993</v>
      </c>
      <c r="F5" s="45">
        <f>C5*Pristalsregulering!$C$7*Pristalsregulering!$C$6</f>
        <v>114583.59359999998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52</v>
      </c>
    </row>
    <row r="2" spans="1:2" ht="15.75" thickTop="1" x14ac:dyDescent="0.25">
      <c r="A2" s="31">
        <v>2015</v>
      </c>
      <c r="B2" s="52">
        <v>935477.8566451493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68</v>
      </c>
      <c r="C1" s="79"/>
      <c r="D1" s="80"/>
      <c r="E1" s="81" t="s">
        <v>69</v>
      </c>
      <c r="F1" s="81"/>
      <c r="G1" s="81"/>
    </row>
    <row r="2" spans="1:7" s="25" customFormat="1" ht="15.75" thickTop="1" x14ac:dyDescent="0.25">
      <c r="A2" s="72" t="s">
        <v>13</v>
      </c>
      <c r="B2" s="26" t="s">
        <v>66</v>
      </c>
      <c r="C2" s="26" t="s">
        <v>1</v>
      </c>
      <c r="D2" s="31" t="s">
        <v>67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43298247.650907986</v>
      </c>
      <c r="C3" s="41">
        <v>6194473.1767666629</v>
      </c>
      <c r="D3" s="43">
        <v>844000</v>
      </c>
      <c r="E3" s="38">
        <f>B3*Pristalsregulering!C2*Pristalsregulering!C3*Pristalsregulering!C4*Pristalsregulering!C5*Pristalsregulering!C6*Pristalsregulering!C7</f>
        <v>47138757.406942628</v>
      </c>
      <c r="F3" s="38">
        <v>6386614.1354160095</v>
      </c>
      <c r="G3" s="38">
        <f>D3</f>
        <v>844000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40</v>
      </c>
      <c r="C1" s="77"/>
      <c r="D1" s="77"/>
      <c r="E1" s="77"/>
      <c r="F1" s="78" t="s">
        <v>56</v>
      </c>
      <c r="G1" s="79"/>
      <c r="H1" s="79"/>
      <c r="I1" s="79"/>
      <c r="J1" s="82" t="s">
        <v>29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41</v>
      </c>
      <c r="C2" s="8" t="s">
        <v>42</v>
      </c>
      <c r="D2" s="8" t="s">
        <v>43</v>
      </c>
      <c r="E2" s="54" t="s">
        <v>44</v>
      </c>
      <c r="F2" s="8" t="s">
        <v>41</v>
      </c>
      <c r="G2" s="8" t="s">
        <v>42</v>
      </c>
      <c r="H2" s="8" t="s">
        <v>43</v>
      </c>
      <c r="I2" s="54" t="s">
        <v>44</v>
      </c>
      <c r="J2" s="23" t="s">
        <v>45</v>
      </c>
      <c r="K2" s="23" t="s">
        <v>42</v>
      </c>
      <c r="L2" s="18" t="s">
        <v>72</v>
      </c>
      <c r="M2" s="7" t="s">
        <v>28</v>
      </c>
      <c r="N2" s="35"/>
    </row>
    <row r="3" spans="1:14" x14ac:dyDescent="0.25">
      <c r="A3" s="31">
        <v>2015</v>
      </c>
      <c r="B3" s="48">
        <v>0</v>
      </c>
      <c r="C3" s="41">
        <v>382694</v>
      </c>
      <c r="D3" s="41">
        <v>60060</v>
      </c>
      <c r="E3" s="43">
        <v>0</v>
      </c>
      <c r="F3" s="41">
        <f>B3</f>
        <v>0</v>
      </c>
      <c r="G3" s="41">
        <f>C3</f>
        <v>382694</v>
      </c>
      <c r="H3" s="41">
        <f>D3</f>
        <v>60060</v>
      </c>
      <c r="I3" s="43">
        <f>E3</f>
        <v>0</v>
      </c>
      <c r="J3" s="45">
        <f>AVERAGE(F3:F5)</f>
        <v>0</v>
      </c>
      <c r="K3" s="45">
        <f>G3</f>
        <v>382694</v>
      </c>
      <c r="L3" s="46">
        <f>AVERAGE(H3:H5)+AVERAGE(I3:I5)</f>
        <v>20020</v>
      </c>
      <c r="M3" s="47">
        <f>SUM(J3:L3)</f>
        <v>402714</v>
      </c>
      <c r="N3" s="26"/>
    </row>
    <row r="4" spans="1:14" x14ac:dyDescent="0.25">
      <c r="A4" s="31">
        <v>2014</v>
      </c>
      <c r="B4" s="48">
        <v>0</v>
      </c>
      <c r="C4" s="41">
        <v>571784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572241.42719999992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5000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5079.0599999999995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30</v>
      </c>
      <c r="C1" s="69" t="s">
        <v>31</v>
      </c>
      <c r="D1" s="69" t="s">
        <v>32</v>
      </c>
      <c r="E1" s="69" t="s">
        <v>33</v>
      </c>
      <c r="F1" s="69" t="s">
        <v>34</v>
      </c>
      <c r="G1" s="69" t="s">
        <v>35</v>
      </c>
      <c r="H1" s="69" t="s">
        <v>36</v>
      </c>
      <c r="I1" s="69" t="s">
        <v>37</v>
      </c>
      <c r="J1" s="69" t="s">
        <v>38</v>
      </c>
      <c r="K1" s="69" t="s">
        <v>57</v>
      </c>
      <c r="L1" s="70" t="s">
        <v>39</v>
      </c>
      <c r="M1" s="17" t="s">
        <v>28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30876</v>
      </c>
      <c r="E2" s="45">
        <v>612885</v>
      </c>
      <c r="F2" s="45">
        <v>942000</v>
      </c>
      <c r="G2" s="45">
        <v>0</v>
      </c>
      <c r="H2" s="45">
        <v>1718549</v>
      </c>
      <c r="I2" s="45">
        <v>0</v>
      </c>
      <c r="J2" s="45"/>
      <c r="K2" s="45"/>
      <c r="L2" s="46">
        <v>0</v>
      </c>
      <c r="M2" s="47">
        <f>SUM(B2:L2)</f>
        <v>3336833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46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46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58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49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50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2016-11-11T16:27:13Z</dcterms:modified>
</cp:coreProperties>
</file>