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E31" i="19" l="1"/>
  <c r="C36" i="19" l="1"/>
  <c r="E36" i="19" s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C9" i="9" s="1"/>
  <c r="C15" i="8" s="1"/>
  <c r="A2" i="11"/>
  <c r="A2" i="7"/>
  <c r="A2" i="8"/>
  <c r="A2" i="4"/>
  <c r="C12" i="8" l="1"/>
  <c r="E29" i="19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19" i="7" l="1"/>
  <c r="F9" i="2" l="1"/>
  <c r="F10" i="2"/>
  <c r="F11" i="2"/>
  <c r="F12" i="2"/>
  <c r="C9" i="12" l="1"/>
  <c r="C11" i="12" s="1"/>
  <c r="C31" i="8" s="1"/>
  <c r="E31" i="8" s="1"/>
  <c r="F8" i="2" l="1"/>
  <c r="F8" i="7"/>
  <c r="F18" i="7" s="1"/>
  <c r="F13" i="2" l="1"/>
  <c r="C9" i="10" s="1"/>
  <c r="C15" i="11" l="1"/>
  <c r="C28" i="8" s="1"/>
  <c r="C14" i="4"/>
  <c r="C26" i="8" s="1"/>
  <c r="C25" i="3"/>
  <c r="C24" i="8" s="1"/>
  <c r="F20" i="7"/>
  <c r="C18" i="8" s="1"/>
  <c r="C19" i="3"/>
  <c r="C23" i="8" s="1"/>
  <c r="C8" i="3"/>
  <c r="C21" i="8" s="1"/>
  <c r="C8" i="4"/>
  <c r="C25" i="8" s="1"/>
  <c r="C10" i="10"/>
  <c r="C17" i="8" s="1"/>
  <c r="F15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<sst xmlns="http://schemas.openxmlformats.org/spreadsheetml/2006/main" count="381" uniqueCount="203">
  <si>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</si>
  <si>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</si>
  <si>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</si>
  <si>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</si>
  <si>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</si>
  <si>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</si>
  <si>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</si>
  <si>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</si>
  <si>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</si>
  <si>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</si>
  <si>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</si>
  <si>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</si>
  <si>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</si>
  <si>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</si>
  <si>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</si>
  <si>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</si>
  <si>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</si>
  <si>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</si>
  <si>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</si>
  <si>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</si>
  <si>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</si>
  <si>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</si>
  <si>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</si>
  <si>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</si>
  <si>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</si>
  <si>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</si>
  <si>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</si>
  <si>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</si>
  <si>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</si>
  <si>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</si>
  <si>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</si>
  <si>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</si>
  <si>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</si>
  <si>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</si>
  <si>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</si>
  <si>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</si>
  <si>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</si>
  <si>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</si>
  <si>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</si>
  <si>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</si>
  <si>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</si>
  <si>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</si>
  <si>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</si>
  <si>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</si>
  <si>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</si>
  <si>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</si>
  <si>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</si>
  <si>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</si>
  <si>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</si>
  <si>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</si>
  <si>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</si>
  <si>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</si>
  <si>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</si>
  <si>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</si>
  <si>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</si>
  <si>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</si>
  <si>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</si>
  <si>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</si>
  <si>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</si>
  <si>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</si>
  <si>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</si>
  <si>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</si>
  <si>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</si>
  <si>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</si>
  <si>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</si>
  <si>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</si>
  <si>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</si>
  <si>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</si>
  <si>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</si>
  <si>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</si>
  <si>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</si>
  <si>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</si>
  <si>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</si>
  <si>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</si>
  <si>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</si>
  <si>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</si>
  <si>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</si>
  <si>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</si>
  <si>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</si>
  <si>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</si>
  <si>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</si>
  <si>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</si>
  <si>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</si>
  <si>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</si>
  <si>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</si>
  <si>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</si>
  <si>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</si>
  <si>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</si>
  <si>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</si>
  <si>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</si>
  <si>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</si>
  <si>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</si>
  <si>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</si>
  <si>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</si>
  <si>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</si>
  <si>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</si>
  <si>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</si>
  <si>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</si>
  <si>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</si>
  <si>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</si>
  <si>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</si>
  <si>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</si>
  <si>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</si>
  <si>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</si>
  <si>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</si>
  <si>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</si>
  <si>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</si>
  <si>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</si>
  <si>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</si>
  <si>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Tillæg for gennemførte investeringer i 2012-2014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</si>
  <si>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</si>
  <si>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</si>
  <si>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</si>
  <si>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</si>
  <si>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</si>
  <si>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</si>
  <si>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</si>
  <si>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</si>
  <si>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</si>
  <si>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</si>
  <si>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</si>
  <si>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</si>
  <si>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</si>
  <si>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</si>
  <si>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</si>
  <si>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</si>
  <si>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</si>
  <si>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</si>
  <si>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</si>
  <si>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</si>
  <si>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</si>
  <si>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</si>
  <si>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</si>
  <si>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</si>
  <si>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</si>
  <si>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</si>
  <si>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</si>
  <si>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</si>
  <si>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</si>
  <si>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</si>
  <si>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</si>
  <si>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</si>
  <si>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</si>
  <si>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</si>
  <si>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</si>
  <si>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</si>
  <si>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</si>
  <si>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</si>
  <si>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</si>
  <si>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</si>
  <si>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</si>
  <si>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</si>
  <si>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</si>
  <si>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</si>
  <si>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</si>
  <si>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</si>
  <si>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</si>
  <si>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</si>
  <si>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</si>
  <si>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</si>
  <si>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</si>
  <si>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</si>
  <si>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</si>
  <si>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</si>
  <si>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</si>
  <si>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</si>
  <si>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</si>
  <si>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</si>
  <si>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</si>
  <si>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</si>
  <si>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</si>
  <si>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</si>
  <si>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</si>
  <si>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</si>
  <si>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</si>
  <si>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</si>
  <si>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</si>
  <si>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</si>
  <si>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r>
      <t xml:space="preserve">Afgift for ledningsført vand </t>
    </r>
    <r>
      <rPr>
        <sz val="10"/>
        <color rgb="FFFF0000"/>
        <rFont val="Times New Roman"/>
        <family val="1"/>
      </rPr>
      <t>(6,53 kr./m</t>
    </r>
    <r>
      <rPr>
        <vertAlign val="superscript"/>
        <sz val="10"/>
        <color rgb="FFFF0000"/>
        <rFont val="Times New Roman"/>
        <family val="1"/>
      </rPr>
      <t>3</t>
    </r>
    <r>
      <rPr>
        <sz val="10"/>
        <color rgb="FFFF0000"/>
        <rFont val="Times New Roman"/>
        <family val="1"/>
      </rPr>
      <t>)</t>
    </r>
  </si>
  <si>
    <t>Ø 50mm &lt; Ledningsnet ≤ Ø110 mm</t>
  </si>
  <si>
    <t>2014</t>
  </si>
  <si>
    <t>75</t>
  </si>
  <si>
    <t>Boring (inkl. etablering, forerør, filter og prøvepumpning)</t>
  </si>
  <si>
    <t>30</t>
  </si>
  <si>
    <t>Behandlingsanlæg, kalk anlæg</t>
  </si>
  <si>
    <t>25</t>
  </si>
  <si>
    <t xml:space="preserve">Afregningsmålere, mekaniske </t>
  </si>
  <si>
    <t>8</t>
  </si>
  <si>
    <t>Etageareal kontor og mandskabsfaciliteter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</si>
  <si>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</si>
  <si>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</si>
  <si>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</si>
  <si>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</si>
  <si>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Elanlæg</t>
  </si>
  <si>
    <t>Pumpe inkl. stigrør og forerørsforsejlinger mv.</t>
  </si>
  <si>
    <t>SRO-anlæg, vandværk</t>
  </si>
  <si>
    <t>SRO-brønd/kvarterbrønd/sektionsbrønd, SRO</t>
  </si>
  <si>
    <t>Filteranlæg, åbne filtre, dobbelt filtrering, Mek./EL</t>
  </si>
  <si>
    <t>Etageareal vandbehandlingsbygning</t>
  </si>
  <si>
    <t>Ø110 mm &lt; Ledningsnet ≤ Ø 250 mm</t>
  </si>
  <si>
    <t xml:space="preserve">Grundvandsbeskyttelse </t>
  </si>
  <si>
    <t>Juelsminde Vand</t>
  </si>
  <si>
    <t>V109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</si>
</sst>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70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rgb="FFFF0000"/>
      <name val="Times New Roman"/>
      <family val="1"/>
    </font>
    <font>
      <vertAlign val="superscript"/>
      <sz val="10"/>
      <color rgb="FFFF0000"/>
      <name val="Times New Roman"/>
      <family val="1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9" fillId="2" borderId="0" xfId="0" applyFont="1" applyFill="1" applyProtection="1"/>
    <xf numFmtId="0" fontId="69" fillId="56" borderId="0" xfId="0" applyFont="1" applyFill="1" applyProtection="1"/>
    <xf numFmtId="165" fontId="69" fillId="56" borderId="0" xfId="1" applyNumberFormat="1" applyFont="1" applyFill="1" applyAlignment="1" applyProtection="1">
      <alignment wrapText="1"/>
    </xf>
    <xf numFmtId="0" fontId="69" fillId="56" borderId="0" xfId="0" applyFont="1" applyFill="1" applyAlignment="1" applyProtection="1">
      <alignment horizontal="left" wrapText="1"/>
    </xf>
    <xf numFmtId="3" fontId="69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201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202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129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138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128</v>
      </c>
      <c r="D28" s="242" t="s">
        <v>139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Juelsminde Vand</v>
      </c>
      <c r="B1" s="56"/>
      <c r="C1" s="56"/>
      <c r="D1" s="56"/>
      <c r="E1" s="56"/>
    </row>
    <row r="2" spans="1:5" x14ac:dyDescent="0.25">
      <c r="A2" s="220" t="str">
        <f>'1. Forside'!A2</f>
        <v>V109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119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146</v>
      </c>
      <c r="C6" s="178"/>
      <c r="D6" s="189"/>
      <c r="E6" s="56"/>
    </row>
    <row r="7" spans="1:5" x14ac:dyDescent="0.25">
      <c r="A7" s="56"/>
      <c r="B7" s="212" t="s">
        <v>200</v>
      </c>
      <c r="C7" s="51">
        <v>100000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100000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147</v>
      </c>
      <c r="C11" s="192"/>
      <c r="D11" s="189"/>
      <c r="E11" s="56"/>
    </row>
    <row r="12" spans="1:5" ht="16.7" customHeight="1" x14ac:dyDescent="0.25">
      <c r="A12" s="56"/>
      <c r="B12" s="108" t="s">
        <v>148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149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150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Juelsminde Vand</v>
      </c>
      <c r="B1" s="26"/>
      <c r="C1" s="26"/>
      <c r="D1" s="26"/>
      <c r="E1" s="26"/>
    </row>
    <row r="2" spans="1:5" x14ac:dyDescent="0.25">
      <c r="A2" s="221" t="str">
        <f>'1. Forside'!A2</f>
        <v>V109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189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151</v>
      </c>
      <c r="C6" s="197"/>
      <c r="D6" s="198"/>
      <c r="E6" s="26"/>
    </row>
    <row r="7" spans="1:5" x14ac:dyDescent="0.25">
      <c r="A7" s="26"/>
      <c r="B7" s="110" t="s">
        <v>152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153</v>
      </c>
      <c r="C8" s="51">
        <v>20000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-20000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157</v>
      </c>
      <c r="C12" s="199"/>
      <c r="D12" s="198"/>
      <c r="E12" s="26"/>
    </row>
    <row r="13" spans="1:5" x14ac:dyDescent="0.25">
      <c r="A13" s="26"/>
      <c r="B13" s="108" t="s">
        <v>154</v>
      </c>
      <c r="C13" s="19">
        <v>-33315</v>
      </c>
      <c r="D13" s="151" t="s">
        <v>0</v>
      </c>
      <c r="E13" s="26"/>
    </row>
    <row r="14" spans="1:5" x14ac:dyDescent="0.25">
      <c r="A14" s="26"/>
      <c r="B14" s="108" t="s">
        <v>155</v>
      </c>
      <c r="C14" s="40">
        <v>0</v>
      </c>
      <c r="D14" s="151" t="s">
        <v>0</v>
      </c>
      <c r="E14" s="26"/>
    </row>
    <row r="15" spans="1:5" x14ac:dyDescent="0.25">
      <c r="A15" s="26"/>
      <c r="B15" s="28" t="s">
        <v>156</v>
      </c>
      <c r="C15" s="55">
        <f>C13-C14</f>
        <v>-33315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Juelsminde Vand</v>
      </c>
      <c r="B1" s="26"/>
      <c r="C1" s="26"/>
      <c r="D1" s="26"/>
      <c r="E1" s="26"/>
    </row>
    <row r="2" spans="1:5" x14ac:dyDescent="0.25">
      <c r="A2" s="221" t="str">
        <f>'1. Forside'!A2</f>
        <v>V109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190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-4191708</v>
      </c>
      <c r="D7" s="190" t="s">
        <v>0</v>
      </c>
      <c r="E7" s="26"/>
    </row>
    <row r="8" spans="1:5" x14ac:dyDescent="0.25">
      <c r="A8" s="26"/>
      <c r="B8" s="111" t="s">
        <v>158</v>
      </c>
      <c r="C8" s="51">
        <v>-2792355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-1399353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-279870.59999999998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Juelsminde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191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1298200.8645521472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1202766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160</v>
      </c>
      <c r="C10" s="14">
        <v>12776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161</v>
      </c>
      <c r="C11" s="14">
        <v>-20000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162</v>
      </c>
      <c r="C12" s="14">
        <v>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1195542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63986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-1276569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-1276569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-17041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163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163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3376124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3376124</v>
      </c>
      <c r="D36" s="79" t="s">
        <v>0</v>
      </c>
      <c r="E36" s="10">
        <f>-C36</f>
        <v>-3376124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-2077923.1354478528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Juelsminde Vand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V109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192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0</v>
      </c>
      <c r="D7" s="222" t="s">
        <v>0</v>
      </c>
      <c r="E7" s="223">
        <v>63986</v>
      </c>
      <c r="F7" s="222" t="s">
        <v>0</v>
      </c>
      <c r="G7" s="223">
        <v>0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63986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0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0</v>
      </c>
      <c r="D11" s="226" t="s">
        <v>0</v>
      </c>
      <c r="E11" s="55">
        <f>C11+E7-E8-E9</f>
        <v>63986</v>
      </c>
      <c r="F11" s="226" t="s">
        <v>0</v>
      </c>
      <c r="G11" s="55">
        <f>E11+G7-G8-G9</f>
        <v>0</v>
      </c>
      <c r="H11" s="226" t="s">
        <v>0</v>
      </c>
      <c r="I11" s="55">
        <f>G11+I7-I8-I9</f>
        <v>0</v>
      </c>
      <c r="J11" s="226" t="s">
        <v>0</v>
      </c>
      <c r="K11" s="55">
        <f>K7-K8-K9+K10+I11</f>
        <v>0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Juelsminde Vand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V109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1134549.2844111882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-4311.2872807625154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47764.524873711169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0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1178002.5220041368</v>
      </c>
      <c r="D13" s="79" t="s">
        <v>0</v>
      </c>
      <c r="E13" s="6">
        <f>C13</f>
        <v>1178002.5220041368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1027894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109</v>
      </c>
      <c r="C16" s="14">
        <f>'6. Gennemførte investeringer'!F15</f>
        <v>138703.43722695298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45861.166666666686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investeringer'!F20</f>
        <v>269948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1482406.6038936197</v>
      </c>
      <c r="D19" s="79" t="s">
        <v>0</v>
      </c>
      <c r="E19" s="8">
        <f>C19</f>
        <v>1482406.6038936197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140</v>
      </c>
      <c r="C21" s="14">
        <f>'9. 1-1 omkostninger'!C8</f>
        <v>33000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172</v>
      </c>
      <c r="C22" s="14">
        <f>'9. 1-1 omkostninger'!C13</f>
        <v>1501900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173</v>
      </c>
      <c r="C23" s="14">
        <f>'9. 1-1 omkostninger'!C19</f>
        <v>40000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112</v>
      </c>
      <c r="C24" s="14">
        <f>'9. 1-1 omkostninger'!C25</f>
        <v>682302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146</v>
      </c>
      <c r="C25" s="14">
        <f>'10. Miljø- og servicemål'!C8</f>
        <v>100000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113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174</v>
      </c>
      <c r="C27" s="14">
        <f>'11. Nettofinansielle poster'!C9</f>
        <v>-20000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114</v>
      </c>
      <c r="C28" s="14">
        <f>'11. Nettofinansielle poster'!C15</f>
        <v>-33315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2303887</v>
      </c>
      <c r="D29" s="79" t="s">
        <v>0</v>
      </c>
      <c r="E29" s="6">
        <f>C29</f>
        <v>2303887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-279870.59999999998</v>
      </c>
      <c r="D31" s="79" t="s">
        <v>0</v>
      </c>
      <c r="E31" s="10">
        <f>C31</f>
        <v>-279870.59999999998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176</v>
      </c>
      <c r="C33" s="11">
        <f>'13. Kontrol med indtægtsrammen'!E37</f>
        <v>-2077923.1354478528</v>
      </c>
      <c r="D33" s="79" t="s">
        <v>0</v>
      </c>
      <c r="E33" s="12">
        <f>C33</f>
        <v>-2077923.1354478528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115</v>
      </c>
      <c r="C35" s="11"/>
      <c r="D35" s="100"/>
      <c r="E35" s="10">
        <f>E13+E19+E29+E31+E33</f>
        <v>2606502.3904499044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116</v>
      </c>
      <c r="C36" s="101"/>
      <c r="D36" s="102"/>
      <c r="E36" s="140">
        <v>215024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117</v>
      </c>
      <c r="C37" s="104"/>
      <c r="D37" s="105"/>
      <c r="E37" s="67">
        <f>E35/E36</f>
        <v>12.121913788460379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118</v>
      </c>
      <c r="C38" s="104"/>
      <c r="D38" s="105"/>
      <c r="E38" s="67">
        <f>(E35-C22)/E36</f>
        <v>5.1371120919055748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Juelsminde Vand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V109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125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164</v>
      </c>
      <c r="C6" s="150"/>
      <c r="D6" s="150"/>
      <c r="E6" s="26"/>
    </row>
    <row r="7" spans="1:16384" s="148" customFormat="1" ht="14.1" customHeight="1" x14ac:dyDescent="0.25">
      <c r="A7" s="26"/>
      <c r="B7" s="22" t="s">
        <v>165</v>
      </c>
      <c r="C7" s="40">
        <v>1134549.2844111882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166</v>
      </c>
      <c r="C9" s="27">
        <f>C7+C8</f>
        <v>1134549.2844111882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167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168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165</v>
      </c>
      <c r="C18" s="40">
        <v>1134549.2844111882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169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-4311.2872807625154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Juelsminde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124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130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1178002.5220041368</v>
      </c>
      <c r="D7" s="151" t="s">
        <v>0</v>
      </c>
      <c r="E7" s="26"/>
    </row>
    <row r="8" spans="1:5" ht="14.1" customHeight="1" x14ac:dyDescent="0.25">
      <c r="A8" s="26"/>
      <c r="B8" s="22" t="s">
        <v>170</v>
      </c>
      <c r="C8" s="40">
        <f>'3. Driftsomkostninger'!C18+'3. Driftsomkostninger'!C20</f>
        <v>1130237.9971304256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47764.524873711169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165</v>
      </c>
      <c r="C13" s="40">
        <f>'3. Driftsomkostninger'!C18</f>
        <v>1134549.2844111882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171</v>
      </c>
      <c r="C19" s="218">
        <v>0</v>
      </c>
      <c r="D19" s="151" t="s">
        <v>0</v>
      </c>
      <c r="E19" s="26"/>
    </row>
    <row r="20" spans="1:5" ht="14.1" customHeight="1" x14ac:dyDescent="0.25">
      <c r="A20" s="26"/>
      <c r="B20" s="28" t="s">
        <v>175</v>
      </c>
      <c r="C20" s="27">
        <v>0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Juelsminde Vand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V109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54599526.839624174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1027894</v>
      </c>
      <c r="D8" s="151" t="s">
        <v>0</v>
      </c>
      <c r="E8" s="26"/>
    </row>
    <row r="9" spans="1:5" ht="14.1" customHeight="1" x14ac:dyDescent="0.25">
      <c r="A9" s="26"/>
      <c r="B9" s="28" t="s">
        <v>126</v>
      </c>
      <c r="C9" s="27">
        <f>C8</f>
        <v>1027894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Juelsminde Vand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127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132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179</v>
      </c>
      <c r="C8" s="30" t="s">
        <v>180</v>
      </c>
      <c r="D8" s="31" t="s">
        <v>181</v>
      </c>
      <c r="E8" s="32">
        <v>79122</v>
      </c>
      <c r="F8" s="34">
        <f t="shared" ref="F8:F12" si="0">E8/D8</f>
        <v>1054.96</v>
      </c>
      <c r="G8" s="35" t="s">
        <v>0</v>
      </c>
      <c r="H8" s="26"/>
    </row>
    <row r="9" spans="1:8" s="148" customFormat="1" x14ac:dyDescent="0.25">
      <c r="A9" s="26"/>
      <c r="B9" s="29" t="s">
        <v>182</v>
      </c>
      <c r="C9" s="30" t="s">
        <v>180</v>
      </c>
      <c r="D9" s="31" t="s">
        <v>183</v>
      </c>
      <c r="E9" s="32">
        <v>173964</v>
      </c>
      <c r="F9" s="34">
        <f t="shared" si="0"/>
        <v>5798.8</v>
      </c>
      <c r="G9" s="35" t="s">
        <v>0</v>
      </c>
      <c r="H9" s="26"/>
    </row>
    <row r="10" spans="1:8" s="148" customFormat="1" x14ac:dyDescent="0.25">
      <c r="A10" s="26"/>
      <c r="B10" s="29" t="s">
        <v>184</v>
      </c>
      <c r="C10" s="30" t="s">
        <v>180</v>
      </c>
      <c r="D10" s="31" t="s">
        <v>185</v>
      </c>
      <c r="E10" s="32">
        <v>653981</v>
      </c>
      <c r="F10" s="34">
        <f t="shared" si="0"/>
        <v>26159.24</v>
      </c>
      <c r="G10" s="35" t="s">
        <v>0</v>
      </c>
      <c r="H10" s="26"/>
    </row>
    <row r="11" spans="1:8" s="148" customFormat="1" x14ac:dyDescent="0.25">
      <c r="A11" s="26"/>
      <c r="B11" s="29" t="s">
        <v>186</v>
      </c>
      <c r="C11" s="30" t="s">
        <v>180</v>
      </c>
      <c r="D11" s="31" t="s">
        <v>187</v>
      </c>
      <c r="E11" s="32">
        <v>289202</v>
      </c>
      <c r="F11" s="34">
        <f t="shared" si="0"/>
        <v>36150.25</v>
      </c>
      <c r="G11" s="35" t="s">
        <v>0</v>
      </c>
      <c r="H11" s="26"/>
    </row>
    <row r="12" spans="1:8" s="148" customFormat="1" x14ac:dyDescent="0.25">
      <c r="A12" s="26"/>
      <c r="B12" s="29" t="s">
        <v>188</v>
      </c>
      <c r="C12" s="30" t="s">
        <v>180</v>
      </c>
      <c r="D12" s="31" t="s">
        <v>181</v>
      </c>
      <c r="E12" s="32">
        <v>176300</v>
      </c>
      <c r="F12" s="34">
        <f t="shared" si="0"/>
        <v>2350.6666666666665</v>
      </c>
      <c r="G12" s="35" t="s">
        <v>0</v>
      </c>
      <c r="H12" s="26"/>
    </row>
    <row r="13" spans="1:8" s="148" customFormat="1" x14ac:dyDescent="0.25">
      <c r="A13" s="26"/>
      <c r="B13" s="23" t="s">
        <v>71</v>
      </c>
      <c r="C13" s="158"/>
      <c r="D13" s="158"/>
      <c r="E13" s="158"/>
      <c r="F13" s="36">
        <f>SUM(F8:F12)</f>
        <v>71513.916666666672</v>
      </c>
      <c r="G13" s="37" t="s">
        <v>0</v>
      </c>
      <c r="H13" s="26"/>
    </row>
    <row r="14" spans="1:8" s="148" customFormat="1" x14ac:dyDescent="0.25">
      <c r="A14" s="26"/>
      <c r="B14" s="107" t="s">
        <v>133</v>
      </c>
      <c r="C14" s="159"/>
      <c r="D14" s="159"/>
      <c r="E14" s="159"/>
      <c r="F14" s="66">
        <v>67189.520560286313</v>
      </c>
      <c r="G14" s="37" t="s">
        <v>0</v>
      </c>
      <c r="H14" s="26"/>
    </row>
    <row r="15" spans="1:8" s="148" customFormat="1" x14ac:dyDescent="0.25">
      <c r="A15" s="26"/>
      <c r="B15" s="39" t="s">
        <v>68</v>
      </c>
      <c r="C15" s="160"/>
      <c r="D15" s="160"/>
      <c r="E15" s="161"/>
      <c r="F15" s="38">
        <f>F13+F14</f>
        <v>138703.43722695298</v>
      </c>
      <c r="G15" s="38" t="s">
        <v>0</v>
      </c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x14ac:dyDescent="0.25">
      <c r="A18" s="26"/>
      <c r="B18" s="26"/>
      <c r="C18" s="26"/>
      <c r="D18" s="26"/>
      <c r="E18" s="26"/>
      <c r="F18" s="26"/>
      <c r="G18" s="26"/>
      <c r="H18" s="26"/>
    </row>
    <row r="19" spans="1:8" s="148" customFormat="1" hidden="1" x14ac:dyDescent="0.25"/>
    <row r="20" spans="1:8" s="148" customFormat="1" hidden="1" x14ac:dyDescent="0.25"/>
    <row r="21" spans="1:8" s="148" customFormat="1" hidden="1" x14ac:dyDescent="0.25"/>
    <row r="22" spans="1:8" s="148" customFormat="1" ht="14.45" hidden="1" customHeight="1" x14ac:dyDescent="0.25"/>
    <row r="23" spans="1:8" s="148" customFormat="1" ht="14.4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t="15" hidden="1" customHeight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s="148" customFormat="1" hidden="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Juelsminde Vand</v>
      </c>
      <c r="B1" s="162"/>
      <c r="C1" s="162"/>
      <c r="D1" s="162"/>
      <c r="E1" s="162"/>
    </row>
    <row r="2" spans="1:5" x14ac:dyDescent="0.25">
      <c r="A2" s="1" t="str">
        <f>'1. Forside'!A2</f>
        <v>V109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122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134</v>
      </c>
      <c r="C6" s="163"/>
      <c r="D6" s="163"/>
      <c r="E6" s="162"/>
    </row>
    <row r="7" spans="1:5" x14ac:dyDescent="0.25">
      <c r="A7" s="162"/>
      <c r="B7" s="108" t="s">
        <v>135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136</v>
      </c>
      <c r="C8" s="19">
        <v>97166.666666666657</v>
      </c>
      <c r="D8" s="151" t="s">
        <v>0</v>
      </c>
      <c r="E8" s="162"/>
    </row>
    <row r="9" spans="1:5" ht="15" customHeight="1" x14ac:dyDescent="0.25">
      <c r="A9" s="162"/>
      <c r="B9" s="108" t="s">
        <v>137</v>
      </c>
      <c r="C9" s="40">
        <f>'6. Gennemførte investeringer'!F13</f>
        <v>71513.916666666672</v>
      </c>
      <c r="D9" s="151" t="s">
        <v>0</v>
      </c>
      <c r="E9" s="162"/>
    </row>
    <row r="10" spans="1:5" x14ac:dyDescent="0.25">
      <c r="A10" s="162"/>
      <c r="B10" s="28" t="s">
        <v>134</v>
      </c>
      <c r="C10" s="21">
        <f>C9-C7+C9-C8</f>
        <v>45861.166666666686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7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Juelsminde Vand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V109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121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193</v>
      </c>
      <c r="C8" s="30">
        <v>2015</v>
      </c>
      <c r="D8" s="31">
        <v>20</v>
      </c>
      <c r="E8" s="32">
        <v>130000</v>
      </c>
      <c r="F8" s="45">
        <f>E8/D8</f>
        <v>6500</v>
      </c>
      <c r="G8" s="35" t="s">
        <v>0</v>
      </c>
      <c r="H8" s="26"/>
    </row>
    <row r="9" spans="1:8" s="148" customFormat="1" x14ac:dyDescent="0.25">
      <c r="A9" s="26"/>
      <c r="B9" s="29" t="s">
        <v>194</v>
      </c>
      <c r="C9" s="30">
        <v>2015</v>
      </c>
      <c r="D9" s="31">
        <v>15</v>
      </c>
      <c r="E9" s="32">
        <v>80000</v>
      </c>
      <c r="F9" s="45">
        <f t="shared" ref="F9:F17" si="0">E9/D9</f>
        <v>5333.333333333333</v>
      </c>
      <c r="G9" s="35" t="s">
        <v>0</v>
      </c>
      <c r="H9" s="26"/>
    </row>
    <row r="10" spans="1:8" s="148" customFormat="1" x14ac:dyDescent="0.25">
      <c r="A10" s="26"/>
      <c r="B10" s="29" t="s">
        <v>195</v>
      </c>
      <c r="C10" s="30">
        <v>2015</v>
      </c>
      <c r="D10" s="31">
        <v>10</v>
      </c>
      <c r="E10" s="32">
        <v>750000</v>
      </c>
      <c r="F10" s="45">
        <f t="shared" si="0"/>
        <v>75000</v>
      </c>
      <c r="G10" s="35" t="s">
        <v>0</v>
      </c>
      <c r="H10" s="26"/>
    </row>
    <row r="11" spans="1:8" s="148" customFormat="1" x14ac:dyDescent="0.25">
      <c r="A11" s="26"/>
      <c r="B11" s="29" t="s">
        <v>196</v>
      </c>
      <c r="C11" s="30">
        <v>2015</v>
      </c>
      <c r="D11" s="31">
        <v>10</v>
      </c>
      <c r="E11" s="32">
        <v>60000</v>
      </c>
      <c r="F11" s="45">
        <f t="shared" si="0"/>
        <v>6000</v>
      </c>
      <c r="G11" s="35" t="s">
        <v>0</v>
      </c>
      <c r="H11" s="26"/>
    </row>
    <row r="12" spans="1:8" s="148" customFormat="1" x14ac:dyDescent="0.25">
      <c r="A12" s="26"/>
      <c r="B12" s="29" t="s">
        <v>186</v>
      </c>
      <c r="C12" s="30">
        <v>2015</v>
      </c>
      <c r="D12" s="31">
        <v>8</v>
      </c>
      <c r="E12" s="32">
        <v>500000</v>
      </c>
      <c r="F12" s="45">
        <f t="shared" si="0"/>
        <v>62500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>
        <v>2015</v>
      </c>
      <c r="D13" s="31">
        <v>15</v>
      </c>
      <c r="E13" s="32">
        <v>710000</v>
      </c>
      <c r="F13" s="45">
        <f t="shared" si="0"/>
        <v>47333.333333333336</v>
      </c>
      <c r="G13" s="35" t="s">
        <v>0</v>
      </c>
      <c r="H13" s="26"/>
    </row>
    <row r="14" spans="1:8" s="148" customFormat="1" x14ac:dyDescent="0.25">
      <c r="A14" s="26"/>
      <c r="B14" s="29" t="s">
        <v>198</v>
      </c>
      <c r="C14" s="30">
        <v>2015</v>
      </c>
      <c r="D14" s="31">
        <v>25</v>
      </c>
      <c r="E14" s="32">
        <v>123700</v>
      </c>
      <c r="F14" s="45">
        <f t="shared" si="0"/>
        <v>4948</v>
      </c>
      <c r="G14" s="35" t="s">
        <v>0</v>
      </c>
      <c r="H14" s="26"/>
    </row>
    <row r="15" spans="1:8" s="148" customFormat="1" x14ac:dyDescent="0.25">
      <c r="A15" s="26"/>
      <c r="B15" s="29" t="s">
        <v>193</v>
      </c>
      <c r="C15" s="30">
        <v>2016</v>
      </c>
      <c r="D15" s="31">
        <v>20</v>
      </c>
      <c r="E15" s="32">
        <v>290000</v>
      </c>
      <c r="F15" s="45">
        <f t="shared" si="0"/>
        <v>14500</v>
      </c>
      <c r="G15" s="35" t="s">
        <v>0</v>
      </c>
      <c r="H15" s="26"/>
    </row>
    <row r="16" spans="1:8" s="148" customFormat="1" x14ac:dyDescent="0.25">
      <c r="A16" s="26"/>
      <c r="B16" s="29" t="s">
        <v>186</v>
      </c>
      <c r="C16" s="30">
        <v>2016</v>
      </c>
      <c r="D16" s="31">
        <v>8</v>
      </c>
      <c r="E16" s="32">
        <v>340000</v>
      </c>
      <c r="F16" s="45">
        <f t="shared" si="0"/>
        <v>42500</v>
      </c>
      <c r="G16" s="35" t="s">
        <v>0</v>
      </c>
      <c r="H16" s="26"/>
    </row>
    <row r="17" spans="1:8" s="148" customFormat="1" x14ac:dyDescent="0.25">
      <c r="A17" s="26"/>
      <c r="B17" s="29" t="s">
        <v>199</v>
      </c>
      <c r="C17" s="30">
        <v>2016</v>
      </c>
      <c r="D17" s="31">
        <v>75</v>
      </c>
      <c r="E17" s="32">
        <v>400000</v>
      </c>
      <c r="F17" s="45">
        <f t="shared" si="0"/>
        <v>5333.333333333333</v>
      </c>
      <c r="G17" s="35" t="s">
        <v>0</v>
      </c>
      <c r="H17" s="26"/>
    </row>
    <row r="18" spans="1:8" s="148" customFormat="1" x14ac:dyDescent="0.25">
      <c r="A18" s="26"/>
      <c r="B18" s="109" t="s">
        <v>72</v>
      </c>
      <c r="C18" s="165"/>
      <c r="D18" s="166"/>
      <c r="E18" s="167"/>
      <c r="F18" s="46">
        <f>SUMIF(C8:C17,"2015",F8:F17)</f>
        <v>207614.66666666666</v>
      </c>
      <c r="G18" s="47" t="s">
        <v>0</v>
      </c>
      <c r="H18" s="26"/>
    </row>
    <row r="19" spans="1:8" s="148" customFormat="1" x14ac:dyDescent="0.25">
      <c r="A19" s="26"/>
      <c r="B19" s="107" t="s">
        <v>131</v>
      </c>
      <c r="C19" s="168"/>
      <c r="D19" s="169"/>
      <c r="E19" s="170"/>
      <c r="F19" s="46">
        <f>SUMIF(C8:C17,"2016",F8:F17)</f>
        <v>62333.333333333336</v>
      </c>
      <c r="G19" s="47" t="s">
        <v>0</v>
      </c>
      <c r="H19" s="26"/>
    </row>
    <row r="20" spans="1:8" s="148" customFormat="1" x14ac:dyDescent="0.25">
      <c r="A20" s="26"/>
      <c r="B20" s="50" t="s">
        <v>36</v>
      </c>
      <c r="C20" s="171"/>
      <c r="D20" s="172"/>
      <c r="E20" s="172"/>
      <c r="F20" s="48">
        <f>F18+F19</f>
        <v>269948</v>
      </c>
      <c r="G20" s="49" t="s">
        <v>0</v>
      </c>
      <c r="H20" s="26"/>
    </row>
    <row r="21" spans="1:8" s="148" customFormat="1" x14ac:dyDescent="0.25">
      <c r="A21" s="26"/>
      <c r="B21" s="26"/>
      <c r="C21" s="164"/>
      <c r="D21" s="26"/>
      <c r="E21" s="26"/>
      <c r="F21" s="26"/>
      <c r="G21" s="26"/>
      <c r="H21" s="26"/>
    </row>
    <row r="22" spans="1:8" s="148" customFormat="1" x14ac:dyDescent="0.25">
      <c r="A22" s="26"/>
      <c r="B22" s="26"/>
      <c r="C22" s="164"/>
      <c r="D22" s="26"/>
      <c r="E22" s="26"/>
      <c r="F22" s="26"/>
      <c r="G22" s="26"/>
      <c r="H22" s="26"/>
    </row>
    <row r="23" spans="1:8" s="148" customFormat="1" x14ac:dyDescent="0.25">
      <c r="A23" s="26"/>
      <c r="B23" s="26"/>
      <c r="C23" s="164"/>
      <c r="D23" s="26"/>
      <c r="E23" s="26"/>
      <c r="F23" s="173"/>
      <c r="G23" s="173"/>
      <c r="H23" s="26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t="12" hidden="1" customHeight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s="148" customFormat="1" hidden="1" x14ac:dyDescent="0.25">
      <c r="C117" s="174"/>
    </row>
    <row r="118" spans="3:3" s="148" customFormat="1" hidden="1" x14ac:dyDescent="0.25">
      <c r="C118" s="174"/>
    </row>
    <row r="119" spans="3:3" s="148" customFormat="1" hidden="1" x14ac:dyDescent="0.25">
      <c r="C119" s="174"/>
    </row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Juelsminde Vand</v>
      </c>
      <c r="B1" s="56"/>
      <c r="C1" s="56"/>
      <c r="D1" s="176"/>
      <c r="E1" s="56"/>
    </row>
    <row r="2" spans="1:5" x14ac:dyDescent="0.25">
      <c r="A2" s="220" t="str">
        <f>'1. Forside'!A2</f>
        <v>V109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120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140</v>
      </c>
      <c r="C6" s="178"/>
      <c r="D6" s="179"/>
      <c r="E6" s="56"/>
    </row>
    <row r="7" spans="1:5" x14ac:dyDescent="0.25">
      <c r="A7" s="56"/>
      <c r="B7" s="206" t="s">
        <v>13</v>
      </c>
      <c r="C7" s="51">
        <v>33000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33000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177</v>
      </c>
      <c r="C11" s="178"/>
      <c r="D11" s="179"/>
      <c r="E11" s="56"/>
    </row>
    <row r="12" spans="1:5" x14ac:dyDescent="0.25">
      <c r="A12" s="56"/>
      <c r="B12" s="53" t="s">
        <v>178</v>
      </c>
      <c r="C12" s="180">
        <v>1501900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1501900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141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20000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20000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40000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142</v>
      </c>
      <c r="C22" s="265"/>
      <c r="D22" s="266"/>
      <c r="E22" s="56"/>
    </row>
    <row r="23" spans="1:5" x14ac:dyDescent="0.25">
      <c r="A23" s="56"/>
      <c r="B23" s="108" t="s">
        <v>143</v>
      </c>
      <c r="C23" s="19">
        <v>2165966</v>
      </c>
      <c r="D23" s="58" t="s">
        <v>0</v>
      </c>
      <c r="E23" s="56"/>
    </row>
    <row r="24" spans="1:5" x14ac:dyDescent="0.25">
      <c r="A24" s="56"/>
      <c r="B24" s="108" t="s">
        <v>144</v>
      </c>
      <c r="C24" s="40">
        <v>1483664</v>
      </c>
      <c r="D24" s="58" t="s">
        <v>0</v>
      </c>
      <c r="E24" s="56"/>
    </row>
    <row r="25" spans="1:5" x14ac:dyDescent="0.25">
      <c r="A25" s="56"/>
      <c r="B25" s="28" t="s">
        <v>145</v>
      </c>
      <c r="C25" s="55">
        <f>C23-C24</f>
        <v>682302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2015-05-11T13:46:52Z</cp:lastPrinted>
  <dcterms:created xsi:type="dcterms:W3CDTF">2014-01-17T08:54:17Z</dcterms:created>
  <dcterms:modified xsi:type="dcterms:W3CDTF">2015-08-25T11:21:51Z</dcterms:modified>
</cp:coreProperties>
</file>