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76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state="hidden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F9" i="2" l="1"/>
  <c r="F10" i="2"/>
  <c r="F11" i="2"/>
  <c r="F12" i="2"/>
  <c r="F13" i="2"/>
  <c r="F14" i="2"/>
  <c r="F15" i="2"/>
  <c r="E31" i="19" l="1"/>
  <c r="C36" i="19" l="1"/>
  <c r="E36" i="19" s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3" i="15" l="1"/>
  <c r="C15" i="15" s="1"/>
  <c r="C11" i="8" s="1"/>
  <c r="C14" i="16"/>
  <c r="C8" i="8" s="1"/>
  <c r="C9" i="9"/>
  <c r="C15" i="8" s="1"/>
  <c r="E29" i="19"/>
  <c r="C12" i="8"/>
  <c r="C16" i="3"/>
  <c r="C22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19" i="7" l="1"/>
  <c r="C9" i="12" l="1"/>
  <c r="C31" i="8" s="1"/>
  <c r="E31" i="8" s="1"/>
  <c r="F8" i="2" l="1"/>
  <c r="F8" i="7"/>
  <c r="F18" i="7" s="1"/>
  <c r="F16" i="2" l="1"/>
  <c r="C9" i="10" s="1"/>
  <c r="C15" i="11" l="1"/>
  <c r="C28" i="8" s="1"/>
  <c r="C14" i="4"/>
  <c r="C26" i="8" s="1"/>
  <c r="C28" i="3"/>
  <c r="C24" i="8" s="1"/>
  <c r="F20" i="7"/>
  <c r="C18" i="8" s="1"/>
  <c r="C22" i="3"/>
  <c r="C23" i="8" s="1"/>
  <c r="C11" i="3"/>
  <c r="C21" i="8" s="1"/>
  <c r="C8" i="4"/>
  <c r="C25" i="8" s="1"/>
  <c r="C10" i="10"/>
  <c r="C17" i="8" s="1"/>
  <c r="F18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<sst xmlns="http://schemas.openxmlformats.org/spreadsheetml/2006/main" count="399" uniqueCount="202">
  <si>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</si>
  <si>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</si>
  <si>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</si>
  <si>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</si>
  <si>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</si>
  <si>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</si>
  <si>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</si>
  <si>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</si>
  <si>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</si>
  <si>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</si>
  <si>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</si>
  <si>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</si>
  <si>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</si>
  <si>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</si>
  <si>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</si>
  <si>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</si>
  <si>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</si>
  <si>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</si>
  <si>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</si>
  <si>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</si>
  <si>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</si>
  <si>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</si>
  <si>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</si>
  <si>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</si>
  <si>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</si>
  <si>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</si>
  <si>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</si>
  <si>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</si>
  <si>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</si>
  <si>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</si>
  <si>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</si>
  <si>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</si>
  <si>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</si>
  <si>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</si>
  <si>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</si>
  <si>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</si>
  <si>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</si>
  <si>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</si>
  <si>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</si>
  <si>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</si>
  <si>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</si>
  <si>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</si>
  <si>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</si>
  <si>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</si>
  <si>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</si>
  <si>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</si>
  <si>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</si>
  <si>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</si>
  <si>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</si>
  <si>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</si>
  <si>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</si>
  <si>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</si>
  <si>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</si>
  <si>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</si>
  <si>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</si>
  <si>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</si>
  <si>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</si>
  <si>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</si>
  <si>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</si>
  <si>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</si>
  <si>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</si>
  <si>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</si>
  <si>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</si>
  <si>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</si>
  <si>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</si>
  <si>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</si>
  <si>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</si>
  <si>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</si>
  <si>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</si>
  <si>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</si>
  <si>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</si>
  <si>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</si>
  <si>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</si>
  <si>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</si>
  <si>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</si>
  <si>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</si>
  <si>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</si>
  <si>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</si>
  <si>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</si>
  <si>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</si>
  <si>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</si>
  <si>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</si>
  <si>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</si>
  <si>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</si>
  <si>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</si>
  <si>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</si>
  <si>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</si>
  <si>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</si>
  <si>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</si>
  <si>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</si>
  <si>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</si>
  <si>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</si>
  <si>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</si>
  <si>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</si>
  <si>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</si>
  <si>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</si>
  <si>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</si>
  <si>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</si>
  <si>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</si>
  <si>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</si>
  <si>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</si>
  <si>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</si>
  <si>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</si>
  <si>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</si>
  <si>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</si>
  <si>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</si>
  <si>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</si>
  <si>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</si>
  <si>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</si>
  <si>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</si>
  <si>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</si>
  <si>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</si>
  <si>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</si>
  <si>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</si>
  <si>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</si>
  <si>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</si>
  <si>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</si>
  <si>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</si>
  <si>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</si>
  <si>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</si>
  <si>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</si>
  <si>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</si>
  <si>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</si>
  <si>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</si>
  <si>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</si>
  <si>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</si>
  <si>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</si>
  <si>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</si>
  <si>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</si>
  <si>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</si>
  <si>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</si>
  <si>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</si>
  <si>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</si>
  <si>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</si>
  <si>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</si>
  <si>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</si>
  <si>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</si>
  <si>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</si>
  <si>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</si>
  <si>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</si>
  <si>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</si>
  <si>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</si>
  <si>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</si>
  <si>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</si>
  <si>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</si>
  <si>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</si>
  <si>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</si>
  <si>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</si>
  <si>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</si>
  <si>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</si>
  <si>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</si>
  <si>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</si>
  <si>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</si>
  <si>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</si>
  <si>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</si>
  <si>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</si>
  <si>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</si>
  <si>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</si>
  <si>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</si>
  <si>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</si>
  <si>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</si>
  <si>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</si>
  <si>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</si>
  <si>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</si>
  <si>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</si>
  <si>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</si>
  <si>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</si>
  <si>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</si>
  <si>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</si>
  <si>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</si>
  <si>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</si>
  <si>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</si>
  <si>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</si>
  <si>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</si>
  <si>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</si>
  <si>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</si>
  <si>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</si>
  <si>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</si>
  <si>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</si>
  <si>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</si>
  <si>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Ø110 mm &lt; Ledningsnet ≤ Ø 250 mm</t>
  </si>
  <si>
    <t>2014</t>
  </si>
  <si>
    <t>75</t>
  </si>
  <si>
    <t>Boring (inkl. etablering, forerør, filter og prøvepumpning)</t>
  </si>
  <si>
    <t>30</t>
  </si>
  <si>
    <t>SRO anlæg</t>
  </si>
  <si>
    <t>10</t>
  </si>
  <si>
    <t>Etageareal vandbehandlingsbygning</t>
  </si>
  <si>
    <t>Arbejdsplads</t>
  </si>
  <si>
    <t>5</t>
  </si>
  <si>
    <t>Støbejernsledninger Ø 50mm &lt; Ledningsnet ≤ Ø110 mm</t>
  </si>
  <si>
    <t>Køretøjer, entreprenørmaskiner</t>
  </si>
  <si>
    <t>Tjenestemandspensioner</t>
  </si>
  <si>
    <t>Ejendomsskatter</t>
  </si>
  <si>
    <t>Dokumenteret Drikkevandssikkerhed</t>
  </si>
  <si>
    <t xml:space="preserve">Selskabsskatter </t>
  </si>
  <si>
    <t xml:space="preserve">kr. </t>
  </si>
  <si>
    <t>Tillæg for afgift for ledningsført vand i 2016</t>
  </si>
  <si>
    <t>Afgift for ledningsført vand</t>
  </si>
  <si>
    <t>Køge Vand AS</t>
  </si>
  <si>
    <t>V116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</si>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</sst>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199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200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1" t="s">
        <v>58</v>
      </c>
      <c r="E8" s="251"/>
      <c r="F8" s="251"/>
      <c r="G8" s="123"/>
      <c r="H8" s="123"/>
      <c r="I8" s="123"/>
    </row>
    <row r="9" spans="1:9" x14ac:dyDescent="0.25">
      <c r="A9" s="121"/>
      <c r="B9" s="121"/>
      <c r="C9" s="121"/>
      <c r="D9" s="256" t="s">
        <v>106</v>
      </c>
      <c r="E9" s="256"/>
      <c r="F9" s="256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2" t="s">
        <v>59</v>
      </c>
      <c r="E13" s="252"/>
      <c r="F13" s="252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3" t="s">
        <v>60</v>
      </c>
      <c r="E16" s="254"/>
      <c r="F16" s="255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0" t="s">
        <v>2</v>
      </c>
      <c r="E17" s="231"/>
      <c r="F17" s="232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0" t="s">
        <v>128</v>
      </c>
      <c r="E18" s="231"/>
      <c r="F18" s="232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8" t="s">
        <v>44</v>
      </c>
      <c r="E19" s="249"/>
      <c r="F19" s="250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8" t="s">
        <v>61</v>
      </c>
      <c r="E20" s="249"/>
      <c r="F20" s="250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8" t="s">
        <v>87</v>
      </c>
      <c r="E21" s="249"/>
      <c r="F21" s="250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8" t="s">
        <v>62</v>
      </c>
      <c r="E22" s="249"/>
      <c r="F22" s="250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5" t="s">
        <v>42</v>
      </c>
      <c r="E23" s="246"/>
      <c r="F23" s="24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2" t="s">
        <v>63</v>
      </c>
      <c r="E24" s="243"/>
      <c r="F24" s="24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9" t="s">
        <v>43</v>
      </c>
      <c r="E25" s="240"/>
      <c r="F25" s="24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6" t="s">
        <v>64</v>
      </c>
      <c r="E26" s="237"/>
      <c r="F26" s="23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7" t="s">
        <v>137</v>
      </c>
      <c r="E27" s="228"/>
      <c r="F27" s="229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33" t="s">
        <v>138</v>
      </c>
      <c r="E28" s="234"/>
      <c r="F28" s="235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Køge Vand AS</v>
      </c>
      <c r="B1" s="56"/>
      <c r="C1" s="56"/>
      <c r="D1" s="56"/>
      <c r="E1" s="56"/>
    </row>
    <row r="2" spans="1:5" x14ac:dyDescent="0.25">
      <c r="A2" s="220" t="str">
        <f>'1. Forside'!A2</f>
        <v>V116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 t="s">
        <v>194</v>
      </c>
      <c r="C7" s="51">
        <v>25000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25000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Køge Vand AS</v>
      </c>
      <c r="B1" s="26"/>
      <c r="C1" s="26"/>
      <c r="D1" s="26"/>
      <c r="E1" s="26"/>
    </row>
    <row r="2" spans="1:5" x14ac:dyDescent="0.25">
      <c r="A2" s="221" t="str">
        <f>'1. Forside'!A2</f>
        <v>V116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176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1411000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1411000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123303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286000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-162697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Køge Vand AS</v>
      </c>
      <c r="B1" s="26"/>
      <c r="C1" s="26"/>
      <c r="D1" s="26"/>
      <c r="E1" s="26"/>
    </row>
    <row r="2" spans="1:5" x14ac:dyDescent="0.25">
      <c r="A2" s="221" t="str">
        <f>'1. Forside'!A2</f>
        <v>V116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177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1405174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1405174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0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0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v>0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7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Køge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V116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178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34189056.551614709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4844370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583350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140668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671667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6240055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175983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175983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6809075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-194019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-5731725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-5532383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-11458127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1766986</v>
      </c>
      <c r="D27" s="79" t="s">
        <v>0</v>
      </c>
      <c r="E27" s="10">
        <f>IF(C27&lt;0,0,-C27)</f>
        <v>-1766986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32422071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32422071</v>
      </c>
      <c r="D36" s="79" t="s">
        <v>0</v>
      </c>
      <c r="E36" s="10">
        <f>-C36</f>
        <v>-32422071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-0.44838529080152512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Køge 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V116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179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3818335</v>
      </c>
      <c r="D7" s="222" t="s">
        <v>0</v>
      </c>
      <c r="E7" s="223">
        <v>3916684</v>
      </c>
      <c r="F7" s="222" t="s">
        <v>0</v>
      </c>
      <c r="G7" s="223">
        <v>4714175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1057553</v>
      </c>
      <c r="D8" s="222" t="s">
        <v>0</v>
      </c>
      <c r="E8" s="224">
        <v>2016895</v>
      </c>
      <c r="F8" s="222" t="s">
        <v>0</v>
      </c>
      <c r="G8" s="224">
        <v>6809075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2760782</v>
      </c>
      <c r="D11" s="226" t="s">
        <v>0</v>
      </c>
      <c r="E11" s="55">
        <f>C11+E7-E8-E9</f>
        <v>4660571</v>
      </c>
      <c r="F11" s="226" t="s">
        <v>0</v>
      </c>
      <c r="G11" s="55">
        <f>E11+G7-G8-G9</f>
        <v>2565671</v>
      </c>
      <c r="H11" s="226" t="s">
        <v>0</v>
      </c>
      <c r="I11" s="55">
        <f>G11+I7-I8-I9</f>
        <v>2565671</v>
      </c>
      <c r="J11" s="226" t="s">
        <v>0</v>
      </c>
      <c r="K11" s="55">
        <f>K7-K8-K9+K10+I11</f>
        <v>2565671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7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Køge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V116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12589654.609908896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-47840.687517653801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-629483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11912330.922391241</v>
      </c>
      <c r="D13" s="79" t="s">
        <v>0</v>
      </c>
      <c r="E13" s="6">
        <f>C13</f>
        <v>11912330.922391241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4601537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201</v>
      </c>
      <c r="C16" s="14">
        <f>'6. Gennemførte investeringer'!F18</f>
        <v>1226263.0592666664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-299930.84146666666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investeringer'!F20</f>
        <v>2963333.333333333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8491202.5511333309</v>
      </c>
      <c r="D19" s="79" t="s">
        <v>0</v>
      </c>
      <c r="E19" s="8">
        <f>C19</f>
        <v>8491202.5511333309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omkostninger'!C11</f>
        <v>787000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omkostninger'!C16</f>
        <v>11215216.23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omkostninger'!C22</f>
        <v>145000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omkostninger'!C28</f>
        <v>-139582.16999999993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25000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1411000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-162697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13280937.060000001</v>
      </c>
      <c r="D29" s="79" t="s">
        <v>0</v>
      </c>
      <c r="E29" s="6">
        <f>C29</f>
        <v>13280937.060000001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0</v>
      </c>
      <c r="D31" s="79" t="s">
        <v>0</v>
      </c>
      <c r="E31" s="10">
        <f>C31</f>
        <v>0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9">
        <f>'13. Kontrol med indtægtsrammen'!E37</f>
        <v>-0.44838529080152512</v>
      </c>
      <c r="D33" s="79" t="s">
        <v>0</v>
      </c>
      <c r="E33" s="12">
        <f>C33</f>
        <v>-0.44838529080152512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33684470.085139282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1717491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19.61260355084206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13.082603550842061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Køge Vand AS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V116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12589654.609908896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12589654.609908896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12589654.609908896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-47840.687517653801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Køge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V116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6009042.1453095153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12541813.922391241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12589654.609908896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4576339.4507018831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629483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Køge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V116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213794804.5765835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4601537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4601537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5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Køge Vand AS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V116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180</v>
      </c>
      <c r="C8" s="30" t="s">
        <v>181</v>
      </c>
      <c r="D8" s="31" t="s">
        <v>182</v>
      </c>
      <c r="E8" s="32">
        <v>131468.85</v>
      </c>
      <c r="F8" s="34">
        <f t="shared" ref="F8" si="0">E8/D8</f>
        <v>1752.9180000000001</v>
      </c>
      <c r="G8" s="35" t="s">
        <v>0</v>
      </c>
      <c r="H8" s="26"/>
    </row>
    <row r="9" spans="1:8" s="148" customFormat="1" x14ac:dyDescent="0.25">
      <c r="A9" s="26"/>
      <c r="B9" s="29" t="s">
        <v>183</v>
      </c>
      <c r="C9" s="30" t="s">
        <v>181</v>
      </c>
      <c r="D9" s="31" t="s">
        <v>184</v>
      </c>
      <c r="E9" s="32">
        <v>31227.41</v>
      </c>
      <c r="F9" s="34">
        <f t="shared" ref="F9:F15" si="1">E9/D9</f>
        <v>1040.9136666666666</v>
      </c>
      <c r="G9" s="35" t="s">
        <v>0</v>
      </c>
      <c r="H9" s="26"/>
    </row>
    <row r="10" spans="1:8" s="148" customFormat="1" x14ac:dyDescent="0.25">
      <c r="A10" s="26"/>
      <c r="B10" s="29" t="s">
        <v>180</v>
      </c>
      <c r="C10" s="30" t="s">
        <v>181</v>
      </c>
      <c r="D10" s="31" t="s">
        <v>182</v>
      </c>
      <c r="E10" s="32">
        <v>5349374.3</v>
      </c>
      <c r="F10" s="34">
        <f t="shared" si="1"/>
        <v>71324.990666666665</v>
      </c>
      <c r="G10" s="35" t="s">
        <v>0</v>
      </c>
      <c r="H10" s="26"/>
    </row>
    <row r="11" spans="1:8" s="148" customFormat="1" x14ac:dyDescent="0.25">
      <c r="A11" s="26"/>
      <c r="B11" s="29" t="s">
        <v>185</v>
      </c>
      <c r="C11" s="30" t="s">
        <v>181</v>
      </c>
      <c r="D11" s="31" t="s">
        <v>186</v>
      </c>
      <c r="E11" s="32">
        <v>91153.1</v>
      </c>
      <c r="F11" s="34">
        <f t="shared" si="1"/>
        <v>9115.3100000000013</v>
      </c>
      <c r="G11" s="35" t="s">
        <v>0</v>
      </c>
      <c r="H11" s="26"/>
    </row>
    <row r="12" spans="1:8" s="148" customFormat="1" x14ac:dyDescent="0.25">
      <c r="A12" s="26"/>
      <c r="B12" s="29" t="s">
        <v>183</v>
      </c>
      <c r="C12" s="30" t="s">
        <v>181</v>
      </c>
      <c r="D12" s="31" t="s">
        <v>184</v>
      </c>
      <c r="E12" s="32">
        <v>84459.62</v>
      </c>
      <c r="F12" s="34">
        <f t="shared" si="1"/>
        <v>2815.3206666666665</v>
      </c>
      <c r="G12" s="35" t="s">
        <v>0</v>
      </c>
      <c r="H12" s="26"/>
    </row>
    <row r="13" spans="1:8" s="148" customFormat="1" x14ac:dyDescent="0.25">
      <c r="A13" s="26"/>
      <c r="B13" s="29" t="s">
        <v>187</v>
      </c>
      <c r="C13" s="30" t="s">
        <v>181</v>
      </c>
      <c r="D13" s="31" t="s">
        <v>182</v>
      </c>
      <c r="E13" s="32">
        <v>1244146.08</v>
      </c>
      <c r="F13" s="34">
        <f t="shared" si="1"/>
        <v>16588.614400000002</v>
      </c>
      <c r="G13" s="35" t="s">
        <v>0</v>
      </c>
      <c r="H13" s="26"/>
    </row>
    <row r="14" spans="1:8" s="148" customFormat="1" x14ac:dyDescent="0.25">
      <c r="A14" s="26"/>
      <c r="B14" s="29" t="s">
        <v>188</v>
      </c>
      <c r="C14" s="30" t="s">
        <v>181</v>
      </c>
      <c r="D14" s="31" t="s">
        <v>189</v>
      </c>
      <c r="E14" s="32">
        <v>370915</v>
      </c>
      <c r="F14" s="34">
        <f t="shared" si="1"/>
        <v>74183</v>
      </c>
      <c r="G14" s="35" t="s">
        <v>0</v>
      </c>
      <c r="H14" s="26"/>
    </row>
    <row r="15" spans="1:8" s="148" customFormat="1" x14ac:dyDescent="0.25">
      <c r="A15" s="26"/>
      <c r="B15" s="29" t="s">
        <v>180</v>
      </c>
      <c r="C15" s="30" t="s">
        <v>181</v>
      </c>
      <c r="D15" s="31" t="s">
        <v>182</v>
      </c>
      <c r="E15" s="32">
        <v>5041050.8899999997</v>
      </c>
      <c r="F15" s="34">
        <f t="shared" si="1"/>
        <v>67214.011866666668</v>
      </c>
      <c r="G15" s="35" t="s">
        <v>0</v>
      </c>
      <c r="H15" s="26"/>
    </row>
    <row r="16" spans="1:8" s="148" customFormat="1" x14ac:dyDescent="0.25">
      <c r="A16" s="26"/>
      <c r="B16" s="23" t="s">
        <v>71</v>
      </c>
      <c r="C16" s="158"/>
      <c r="D16" s="158"/>
      <c r="E16" s="158"/>
      <c r="F16" s="36">
        <f>SUM(F8:F15)</f>
        <v>244035.07926666667</v>
      </c>
      <c r="G16" s="37" t="s">
        <v>0</v>
      </c>
      <c r="H16" s="26"/>
    </row>
    <row r="17" spans="1:8" s="148" customFormat="1" x14ac:dyDescent="0.25">
      <c r="A17" s="26"/>
      <c r="B17" s="107" t="s">
        <v>132</v>
      </c>
      <c r="C17" s="159"/>
      <c r="D17" s="159"/>
      <c r="E17" s="159"/>
      <c r="F17" s="66">
        <v>982227.97999999975</v>
      </c>
      <c r="G17" s="37" t="s">
        <v>0</v>
      </c>
      <c r="H17" s="26"/>
    </row>
    <row r="18" spans="1:8" s="148" customFormat="1" x14ac:dyDescent="0.25">
      <c r="A18" s="26"/>
      <c r="B18" s="39" t="s">
        <v>68</v>
      </c>
      <c r="C18" s="160"/>
      <c r="D18" s="160"/>
      <c r="E18" s="161"/>
      <c r="F18" s="38">
        <f>F16+F17</f>
        <v>1226263.0592666664</v>
      </c>
      <c r="G18" s="38" t="s">
        <v>0</v>
      </c>
      <c r="H18" s="26"/>
    </row>
    <row r="19" spans="1:8" s="148" customFormat="1" x14ac:dyDescent="0.25">
      <c r="A19" s="26"/>
      <c r="B19" s="26"/>
      <c r="C19" s="26"/>
      <c r="D19" s="26"/>
      <c r="E19" s="26"/>
      <c r="F19" s="26"/>
      <c r="G19" s="26"/>
      <c r="H19" s="26"/>
    </row>
    <row r="20" spans="1:8" s="148" customFormat="1" x14ac:dyDescent="0.25">
      <c r="A20" s="26"/>
      <c r="B20" s="26"/>
      <c r="C20" s="26"/>
      <c r="D20" s="26"/>
      <c r="E20" s="26"/>
      <c r="F20" s="26"/>
      <c r="G20" s="26"/>
      <c r="H20" s="26"/>
    </row>
    <row r="21" spans="1:8" s="148" customFormat="1" x14ac:dyDescent="0.25">
      <c r="A21" s="26"/>
      <c r="B21" s="26"/>
      <c r="C21" s="26"/>
      <c r="D21" s="26"/>
      <c r="E21" s="26"/>
      <c r="F21" s="26"/>
      <c r="G21" s="26"/>
      <c r="H21" s="26"/>
    </row>
    <row r="22" spans="1:8" s="148" customFormat="1" hidden="1" x14ac:dyDescent="0.25"/>
    <row r="23" spans="1:8" s="148" customFormat="1" hidden="1" x14ac:dyDescent="0.25"/>
    <row r="24" spans="1:8" s="148" customFormat="1" hidden="1" x14ac:dyDescent="0.25"/>
    <row r="25" spans="1:8" s="148" customFormat="1" ht="14.45" hidden="1" customHeight="1" x14ac:dyDescent="0.25"/>
    <row r="26" spans="1:8" s="148" customFormat="1" ht="14.45" hidden="1" customHeight="1" x14ac:dyDescent="0.25"/>
    <row r="27" spans="1:8" s="148" customFormat="1" ht="15" hidden="1" customHeight="1" x14ac:dyDescent="0.25"/>
    <row r="28" spans="1:8" s="148" customFormat="1" ht="15" hidden="1" customHeight="1" x14ac:dyDescent="0.25"/>
    <row r="29" spans="1:8" s="148" customFormat="1" ht="15" hidden="1" customHeight="1" x14ac:dyDescent="0.25"/>
    <row r="30" spans="1:8" s="148" customFormat="1" ht="15" hidden="1" customHeight="1" x14ac:dyDescent="0.25"/>
    <row r="31" spans="1:8" s="148" customFormat="1" ht="15" hidden="1" customHeight="1" x14ac:dyDescent="0.25"/>
    <row r="32" spans="1:8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Køge Vand AS</v>
      </c>
      <c r="B1" s="162"/>
      <c r="C1" s="162"/>
      <c r="D1" s="162"/>
      <c r="E1" s="162"/>
    </row>
    <row r="2" spans="1:5" x14ac:dyDescent="0.25">
      <c r="A2" s="1" t="str">
        <f>'1. Forside'!A2</f>
        <v>V116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389001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399000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investeringer'!F16</f>
        <v>244035.07926666667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-299930.84146666666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7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Køge Vand AS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V116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183</v>
      </c>
      <c r="C8" s="30">
        <v>2015</v>
      </c>
      <c r="D8" s="31">
        <v>30</v>
      </c>
      <c r="E8" s="32">
        <v>1000000</v>
      </c>
      <c r="F8" s="45">
        <f>E8/D8</f>
        <v>33333.333333333336</v>
      </c>
      <c r="G8" s="35" t="s">
        <v>0</v>
      </c>
      <c r="H8" s="26"/>
    </row>
    <row r="9" spans="1:8" s="148" customFormat="1" x14ac:dyDescent="0.25">
      <c r="A9" s="26"/>
      <c r="B9" s="29" t="s">
        <v>187</v>
      </c>
      <c r="C9" s="30">
        <v>2015</v>
      </c>
      <c r="D9" s="31">
        <v>75</v>
      </c>
      <c r="E9" s="32">
        <v>25200000</v>
      </c>
      <c r="F9" s="45">
        <f t="shared" ref="F9:F17" si="0">E9/D9</f>
        <v>336000</v>
      </c>
      <c r="G9" s="35" t="s">
        <v>0</v>
      </c>
      <c r="H9" s="26"/>
    </row>
    <row r="10" spans="1:8" s="148" customFormat="1" x14ac:dyDescent="0.25">
      <c r="A10" s="26"/>
      <c r="B10" s="29" t="s">
        <v>190</v>
      </c>
      <c r="C10" s="30">
        <v>2015</v>
      </c>
      <c r="D10" s="31">
        <v>100</v>
      </c>
      <c r="E10" s="32">
        <v>11500000</v>
      </c>
      <c r="F10" s="45">
        <f t="shared" si="0"/>
        <v>115000</v>
      </c>
      <c r="G10" s="35" t="s">
        <v>0</v>
      </c>
      <c r="H10" s="26"/>
    </row>
    <row r="11" spans="1:8" s="148" customFormat="1" x14ac:dyDescent="0.25">
      <c r="A11" s="26"/>
      <c r="B11" s="29" t="s">
        <v>191</v>
      </c>
      <c r="C11" s="30">
        <v>2015</v>
      </c>
      <c r="D11" s="31">
        <v>5</v>
      </c>
      <c r="E11" s="32">
        <v>3500000</v>
      </c>
      <c r="F11" s="45">
        <f t="shared" si="0"/>
        <v>700000</v>
      </c>
      <c r="G11" s="35" t="s">
        <v>0</v>
      </c>
      <c r="H11" s="26"/>
    </row>
    <row r="12" spans="1:8" s="148" customFormat="1" x14ac:dyDescent="0.25">
      <c r="A12" s="26"/>
      <c r="B12" s="29" t="s">
        <v>188</v>
      </c>
      <c r="C12" s="30">
        <v>2015</v>
      </c>
      <c r="D12" s="31">
        <v>5</v>
      </c>
      <c r="E12" s="32">
        <v>750000</v>
      </c>
      <c r="F12" s="45">
        <f t="shared" si="0"/>
        <v>150000</v>
      </c>
      <c r="G12" s="35" t="s">
        <v>0</v>
      </c>
      <c r="H12" s="26"/>
    </row>
    <row r="13" spans="1:8" s="148" customFormat="1" x14ac:dyDescent="0.25">
      <c r="A13" s="26"/>
      <c r="B13" s="29" t="s">
        <v>183</v>
      </c>
      <c r="C13" s="30">
        <v>2016</v>
      </c>
      <c r="D13" s="31">
        <v>30</v>
      </c>
      <c r="E13" s="32">
        <v>1000000</v>
      </c>
      <c r="F13" s="45">
        <f t="shared" si="0"/>
        <v>33333.333333333336</v>
      </c>
      <c r="G13" s="35" t="s">
        <v>0</v>
      </c>
      <c r="H13" s="26"/>
    </row>
    <row r="14" spans="1:8" s="148" customFormat="1" x14ac:dyDescent="0.25">
      <c r="A14" s="26"/>
      <c r="B14" s="29" t="s">
        <v>187</v>
      </c>
      <c r="C14" s="30">
        <v>2016</v>
      </c>
      <c r="D14" s="31">
        <v>75</v>
      </c>
      <c r="E14" s="32">
        <v>53300000</v>
      </c>
      <c r="F14" s="45">
        <f t="shared" si="0"/>
        <v>710666.66666666663</v>
      </c>
      <c r="G14" s="35" t="s">
        <v>0</v>
      </c>
      <c r="H14" s="26"/>
    </row>
    <row r="15" spans="1:8" s="148" customFormat="1" x14ac:dyDescent="0.25">
      <c r="A15" s="26"/>
      <c r="B15" s="29" t="s">
        <v>190</v>
      </c>
      <c r="C15" s="30">
        <v>2016</v>
      </c>
      <c r="D15" s="31">
        <v>100</v>
      </c>
      <c r="E15" s="32">
        <v>11500000</v>
      </c>
      <c r="F15" s="45">
        <f t="shared" si="0"/>
        <v>115000</v>
      </c>
      <c r="G15" s="35" t="s">
        <v>0</v>
      </c>
      <c r="H15" s="26"/>
    </row>
    <row r="16" spans="1:8" s="148" customFormat="1" x14ac:dyDescent="0.25">
      <c r="A16" s="26"/>
      <c r="B16" s="29" t="s">
        <v>191</v>
      </c>
      <c r="C16" s="30">
        <v>2016</v>
      </c>
      <c r="D16" s="31">
        <v>5</v>
      </c>
      <c r="E16" s="32">
        <v>3100000</v>
      </c>
      <c r="F16" s="45">
        <f t="shared" si="0"/>
        <v>620000</v>
      </c>
      <c r="G16" s="35" t="s">
        <v>0</v>
      </c>
      <c r="H16" s="26"/>
    </row>
    <row r="17" spans="1:8" s="148" customFormat="1" x14ac:dyDescent="0.25">
      <c r="A17" s="26"/>
      <c r="B17" s="29" t="s">
        <v>188</v>
      </c>
      <c r="C17" s="30">
        <v>2016</v>
      </c>
      <c r="D17" s="31">
        <v>5</v>
      </c>
      <c r="E17" s="32">
        <v>750000</v>
      </c>
      <c r="F17" s="45">
        <f t="shared" si="0"/>
        <v>150000</v>
      </c>
      <c r="G17" s="35" t="s">
        <v>0</v>
      </c>
      <c r="H17" s="26"/>
    </row>
    <row r="18" spans="1:8" s="148" customFormat="1" x14ac:dyDescent="0.25">
      <c r="A18" s="26"/>
      <c r="B18" s="109" t="s">
        <v>72</v>
      </c>
      <c r="C18" s="165"/>
      <c r="D18" s="166"/>
      <c r="E18" s="167"/>
      <c r="F18" s="46">
        <f>SUMIF(C8:C17,"2015",F8:F17)</f>
        <v>1334333.3333333333</v>
      </c>
      <c r="G18" s="47" t="s">
        <v>0</v>
      </c>
      <c r="H18" s="26"/>
    </row>
    <row r="19" spans="1:8" s="148" customFormat="1" x14ac:dyDescent="0.25">
      <c r="A19" s="26"/>
      <c r="B19" s="107" t="s">
        <v>130</v>
      </c>
      <c r="C19" s="168"/>
      <c r="D19" s="169"/>
      <c r="E19" s="170"/>
      <c r="F19" s="46">
        <f>SUMIF(C8:C17,"2016",F8:F17)</f>
        <v>1629000</v>
      </c>
      <c r="G19" s="47" t="s">
        <v>0</v>
      </c>
      <c r="H19" s="26"/>
    </row>
    <row r="20" spans="1:8" s="148" customFormat="1" x14ac:dyDescent="0.25">
      <c r="A20" s="26"/>
      <c r="B20" s="50" t="s">
        <v>36</v>
      </c>
      <c r="C20" s="171"/>
      <c r="D20" s="172"/>
      <c r="E20" s="172"/>
      <c r="F20" s="48">
        <f>F18+F19</f>
        <v>2963333.333333333</v>
      </c>
      <c r="G20" s="49" t="s">
        <v>0</v>
      </c>
      <c r="H20" s="26"/>
    </row>
    <row r="21" spans="1:8" s="148" customFormat="1" x14ac:dyDescent="0.25">
      <c r="A21" s="26"/>
      <c r="B21" s="26"/>
      <c r="C21" s="164"/>
      <c r="D21" s="26"/>
      <c r="E21" s="26"/>
      <c r="F21" s="26"/>
      <c r="G21" s="26"/>
      <c r="H21" s="26"/>
    </row>
    <row r="22" spans="1:8" s="148" customFormat="1" x14ac:dyDescent="0.25">
      <c r="A22" s="26"/>
      <c r="B22" s="26"/>
      <c r="C22" s="164"/>
      <c r="D22" s="26"/>
      <c r="E22" s="26"/>
      <c r="F22" s="26"/>
      <c r="G22" s="26"/>
      <c r="H22" s="26"/>
    </row>
    <row r="23" spans="1:8" s="148" customFormat="1" x14ac:dyDescent="0.25">
      <c r="A23" s="26"/>
      <c r="B23" s="26"/>
      <c r="C23" s="164"/>
      <c r="D23" s="26"/>
      <c r="E23" s="26"/>
      <c r="F23" s="173"/>
      <c r="G23" s="173"/>
      <c r="H23" s="26"/>
    </row>
    <row r="24" spans="1:8" s="148" customFormat="1" hidden="1" x14ac:dyDescent="0.25">
      <c r="C24" s="174"/>
    </row>
    <row r="25" spans="1:8" s="148" customFormat="1" hidden="1" x14ac:dyDescent="0.25">
      <c r="C25" s="174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t="12" hidden="1" customHeight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1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Køge Vand AS</v>
      </c>
      <c r="B1" s="56"/>
      <c r="C1" s="56"/>
      <c r="D1" s="176"/>
      <c r="E1" s="56"/>
    </row>
    <row r="2" spans="1:5" x14ac:dyDescent="0.25">
      <c r="A2" s="220" t="str">
        <f>'1. Forside'!A2</f>
        <v>V116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206" t="s">
        <v>192</v>
      </c>
      <c r="C8" s="51">
        <v>244000</v>
      </c>
      <c r="D8" s="181" t="s">
        <v>0</v>
      </c>
      <c r="E8" s="56"/>
    </row>
    <row r="9" spans="1:5" x14ac:dyDescent="0.25">
      <c r="A9" s="56"/>
      <c r="B9" s="206" t="s">
        <v>195</v>
      </c>
      <c r="C9" s="51">
        <v>500000</v>
      </c>
      <c r="D9" s="181" t="s">
        <v>196</v>
      </c>
      <c r="E9" s="56"/>
    </row>
    <row r="10" spans="1:5" x14ac:dyDescent="0.25">
      <c r="A10" s="56"/>
      <c r="B10" s="206" t="s">
        <v>193</v>
      </c>
      <c r="C10" s="51">
        <v>10000</v>
      </c>
      <c r="D10" s="181" t="s">
        <v>0</v>
      </c>
      <c r="E10" s="56"/>
    </row>
    <row r="11" spans="1:5" x14ac:dyDescent="0.25">
      <c r="A11" s="56"/>
      <c r="B11" s="54" t="s">
        <v>35</v>
      </c>
      <c r="C11" s="55">
        <f>SUM(C7:C10)</f>
        <v>787000</v>
      </c>
      <c r="D11" s="54" t="s">
        <v>0</v>
      </c>
      <c r="E11" s="56"/>
    </row>
    <row r="12" spans="1:5" x14ac:dyDescent="0.25">
      <c r="A12" s="56"/>
      <c r="B12" s="56"/>
      <c r="C12" s="56"/>
      <c r="D12" s="176"/>
      <c r="E12" s="56"/>
    </row>
    <row r="13" spans="1:5" x14ac:dyDescent="0.25">
      <c r="A13" s="56"/>
      <c r="B13" s="56"/>
      <c r="C13" s="56"/>
      <c r="D13" s="176"/>
      <c r="E13" s="56"/>
    </row>
    <row r="14" spans="1:5" ht="25.5" customHeight="1" x14ac:dyDescent="0.25">
      <c r="A14" s="56"/>
      <c r="B14" s="205" t="s">
        <v>197</v>
      </c>
      <c r="C14" s="178"/>
      <c r="D14" s="179"/>
      <c r="E14" s="56"/>
    </row>
    <row r="15" spans="1:5" x14ac:dyDescent="0.25">
      <c r="A15" s="56"/>
      <c r="B15" s="53" t="s">
        <v>198</v>
      </c>
      <c r="C15" s="180">
        <v>11215216.23</v>
      </c>
      <c r="D15" s="181" t="s">
        <v>0</v>
      </c>
      <c r="E15" s="56"/>
    </row>
    <row r="16" spans="1:5" x14ac:dyDescent="0.25">
      <c r="A16" s="56"/>
      <c r="B16" s="54" t="s">
        <v>35</v>
      </c>
      <c r="C16" s="55">
        <f>C15</f>
        <v>11215216.23</v>
      </c>
      <c r="D16" s="54" t="s">
        <v>0</v>
      </c>
      <c r="E16" s="56"/>
    </row>
    <row r="17" spans="1:5" x14ac:dyDescent="0.25">
      <c r="A17" s="56"/>
      <c r="B17" s="56"/>
      <c r="C17" s="56"/>
      <c r="D17" s="176"/>
      <c r="E17" s="56"/>
    </row>
    <row r="18" spans="1:5" x14ac:dyDescent="0.25">
      <c r="A18" s="56"/>
      <c r="B18" s="56"/>
      <c r="C18" s="56"/>
      <c r="D18" s="176"/>
      <c r="E18" s="56"/>
    </row>
    <row r="19" spans="1:5" ht="38.25" customHeight="1" x14ac:dyDescent="0.25">
      <c r="A19" s="56"/>
      <c r="B19" s="261" t="s">
        <v>140</v>
      </c>
      <c r="C19" s="262"/>
      <c r="D19" s="263"/>
      <c r="E19" s="56"/>
    </row>
    <row r="20" spans="1:5" x14ac:dyDescent="0.25">
      <c r="A20" s="56"/>
      <c r="B20" s="53" t="s">
        <v>70</v>
      </c>
      <c r="C20" s="51">
        <v>80000</v>
      </c>
      <c r="D20" s="181" t="s">
        <v>0</v>
      </c>
      <c r="E20" s="56"/>
    </row>
    <row r="21" spans="1:5" x14ac:dyDescent="0.25">
      <c r="A21" s="56"/>
      <c r="B21" s="53" t="s">
        <v>14</v>
      </c>
      <c r="C21" s="51">
        <v>65000</v>
      </c>
      <c r="D21" s="181" t="s">
        <v>0</v>
      </c>
      <c r="E21" s="56"/>
    </row>
    <row r="22" spans="1:5" x14ac:dyDescent="0.25">
      <c r="A22" s="56"/>
      <c r="B22" s="54" t="s">
        <v>35</v>
      </c>
      <c r="C22" s="55">
        <f>SUM(C20:C21)</f>
        <v>145000</v>
      </c>
      <c r="D22" s="54" t="s">
        <v>0</v>
      </c>
      <c r="E22" s="56"/>
    </row>
    <row r="23" spans="1:5" x14ac:dyDescent="0.25">
      <c r="A23" s="56"/>
      <c r="B23" s="56"/>
      <c r="C23" s="182"/>
      <c r="D23" s="183"/>
      <c r="E23" s="56"/>
    </row>
    <row r="24" spans="1:5" x14ac:dyDescent="0.25">
      <c r="A24" s="56"/>
      <c r="B24" s="56"/>
      <c r="C24" s="182"/>
      <c r="D24" s="183"/>
      <c r="E24" s="56"/>
    </row>
    <row r="25" spans="1:5" ht="42" customHeight="1" x14ac:dyDescent="0.25">
      <c r="A25" s="56"/>
      <c r="B25" s="264" t="s">
        <v>141</v>
      </c>
      <c r="C25" s="265"/>
      <c r="D25" s="266"/>
      <c r="E25" s="56"/>
    </row>
    <row r="26" spans="1:5" x14ac:dyDescent="0.25">
      <c r="A26" s="56"/>
      <c r="B26" s="108" t="s">
        <v>142</v>
      </c>
      <c r="C26" s="19">
        <v>11814065.83</v>
      </c>
      <c r="D26" s="58" t="s">
        <v>0</v>
      </c>
      <c r="E26" s="56"/>
    </row>
    <row r="27" spans="1:5" x14ac:dyDescent="0.25">
      <c r="A27" s="56"/>
      <c r="B27" s="108" t="s">
        <v>143</v>
      </c>
      <c r="C27" s="40">
        <v>11953648</v>
      </c>
      <c r="D27" s="58" t="s">
        <v>0</v>
      </c>
      <c r="E27" s="56"/>
    </row>
    <row r="28" spans="1:5" x14ac:dyDescent="0.25">
      <c r="A28" s="56"/>
      <c r="B28" s="28" t="s">
        <v>144</v>
      </c>
      <c r="C28" s="55">
        <f>C26-C27</f>
        <v>-139582.16999999993</v>
      </c>
      <c r="D28" s="28" t="s">
        <v>0</v>
      </c>
      <c r="E28" s="56"/>
    </row>
    <row r="29" spans="1:5" x14ac:dyDescent="0.25">
      <c r="A29" s="56"/>
      <c r="B29" s="56"/>
      <c r="C29" s="56"/>
      <c r="D29" s="176"/>
      <c r="E29" s="56"/>
    </row>
    <row r="30" spans="1:5" x14ac:dyDescent="0.25">
      <c r="A30" s="56"/>
      <c r="B30" s="56"/>
      <c r="C30" s="56"/>
      <c r="D30" s="176"/>
      <c r="E30" s="56"/>
    </row>
    <row r="31" spans="1:5" ht="14.45" x14ac:dyDescent="0.3">
      <c r="A31" s="56"/>
      <c r="B31" s="56"/>
      <c r="C31" s="56"/>
      <c r="D31" s="176"/>
      <c r="E31" s="56"/>
    </row>
    <row r="32" spans="1:5" hidden="1" x14ac:dyDescent="0.25"/>
    <row r="33" spans="1:5" hidden="1" x14ac:dyDescent="0.25"/>
    <row r="34" spans="1:5" hidden="1" x14ac:dyDescent="0.25"/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>
      <c r="A39" s="185"/>
      <c r="B39" s="185"/>
      <c r="C39" s="185"/>
      <c r="D39" s="186"/>
      <c r="E39" s="185"/>
    </row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  <row r="51" hidden="1" x14ac:dyDescent="0.25"/>
  </sheetData>
  <sheetProtection password="C6ED" sheet="1" objects="1" scenarios="1"/>
  <mergeCells count="3">
    <mergeCell ref="B4:D4"/>
    <mergeCell ref="B19:D19"/>
    <mergeCell ref="B25:D25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2015-09-27T19:13:59Z</dcterms:modified>
</cp:coreProperties>
</file>