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J4" i="16" l="1"/>
  <c r="K4" i="16"/>
  <c r="G3" i="16"/>
  <c r="H3" i="16"/>
  <c r="I3" i="16"/>
  <c r="J3" i="16"/>
  <c r="K3" i="16"/>
  <c r="O3" i="16" l="1"/>
  <c r="P3" i="16"/>
  <c r="F3" i="17"/>
  <c r="G3" i="17"/>
  <c r="G4" i="16" l="1"/>
  <c r="H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K6" i="16"/>
  <c r="J5" i="16"/>
  <c r="K5" i="16"/>
  <c r="J6" i="16"/>
  <c r="G5" i="17"/>
  <c r="F4" i="17"/>
  <c r="E5" i="17"/>
  <c r="G4" i="17"/>
  <c r="E4" i="17"/>
  <c r="F5" i="17"/>
  <c r="I5" i="16"/>
  <c r="N3" i="16" s="1"/>
  <c r="H6" i="16"/>
  <c r="G5" i="16"/>
  <c r="I6" i="16"/>
  <c r="J3" i="24"/>
  <c r="G6" i="16"/>
  <c r="H5" i="16"/>
  <c r="M3" i="16" s="1"/>
  <c r="M3" i="24" l="1"/>
  <c r="B9" i="12" s="1"/>
  <c r="B10" i="12" s="1"/>
  <c r="L3" i="16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<sst xmlns="http://schemas.openxmlformats.org/spreadsheetml/2006/main" count="120" uniqueCount="78">
  <si>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</si>
  <si>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</si>
  <si>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</si>
  <si>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</si>
  <si>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</si>
  <si>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</si>
  <si>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</si>
  <si>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</si>
  <si>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</si>
  <si>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</si>
  <si>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</si>
  <si>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</si>
  <si>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</si>
  <si>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</si>
  <si>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</si>
  <si>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</si>
  <si>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</si>
  <si>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</si>
  <si>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</si>
  <si>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</si>
  <si>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</si>
  <si>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</si>
  <si>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</si>
  <si>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>Miljøcertificering</t>
  </si>
  <si>
    <t>Slamhåndtering 2014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</si>
  <si>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</si>
  <si>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</si>
  <si>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</si>
  <si>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</si>
  <si>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</si>
  <si>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</si>
  <si>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</si>
  <si>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</si>
  <si>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</si>
  <si>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</si>
  <si>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</si>
  <si>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</si>
  <si>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</si>
  <si>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</si>
  <si>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</si>
  <si>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</si>
  <si>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</si>
  <si>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</si>
  <si>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</si>
  <si>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</si>
  <si>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</si>
  <si>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</si>
  <si>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</si>
  <si>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</si>
  <si>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</si>
  <si>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</si>
  <si>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Skoletjeneste</t>
  </si>
  <si>
    <t>Øget kendskab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</si>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</sst>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25201627.076433331</v>
      </c>
      <c r="C2" t="s">
        <v>11</v>
      </c>
    </row>
    <row r="3" spans="1:3" s="2" customFormat="1" x14ac:dyDescent="0.25">
      <c r="A3" s="5" t="s">
        <v>8</v>
      </c>
      <c r="B3" s="36">
        <f>'Miljø- og servicemål'!Q3</f>
        <v>488186.88740800001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98752.40466666664</v>
      </c>
      <c r="C4" t="s">
        <v>11</v>
      </c>
    </row>
    <row r="5" spans="1:3" s="26" customFormat="1" x14ac:dyDescent="0.25">
      <c r="A5" s="3" t="s">
        <v>12</v>
      </c>
      <c r="B5" s="48">
        <f>SUM(B2:B4)</f>
        <v>25788566.368507996</v>
      </c>
      <c r="C5" s="62" t="s">
        <v>11</v>
      </c>
    </row>
    <row r="6" spans="1:3" x14ac:dyDescent="0.25">
      <c r="A6" s="47" t="s">
        <v>0</v>
      </c>
      <c r="B6" s="38">
        <f>Investeringer!E3</f>
        <v>44447001.847937472</v>
      </c>
      <c r="C6" s="23" t="s">
        <v>11</v>
      </c>
    </row>
    <row r="7" spans="1:3" x14ac:dyDescent="0.25">
      <c r="A7" s="4" t="s">
        <v>1</v>
      </c>
      <c r="B7" s="35">
        <f>Investeringer!F3</f>
        <v>6703767.4000818394</v>
      </c>
      <c r="C7" t="s">
        <v>11</v>
      </c>
    </row>
    <row r="8" spans="1:3" x14ac:dyDescent="0.25">
      <c r="A8" s="4" t="s">
        <v>2</v>
      </c>
      <c r="B8" s="35">
        <f>Investeringer!G3</f>
        <v>700666.66666666663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2157541.9300000002</v>
      </c>
      <c r="C9" t="s">
        <v>11</v>
      </c>
    </row>
    <row r="10" spans="1:3" s="22" customFormat="1" x14ac:dyDescent="0.25">
      <c r="A10" s="3" t="s">
        <v>49</v>
      </c>
      <c r="B10" s="48">
        <f>SUM(B6:B9)</f>
        <v>54008977.844685972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6797871.3599999994</v>
      </c>
      <c r="C11" t="s">
        <v>11</v>
      </c>
    </row>
    <row r="12" spans="1:3" s="22" customFormat="1" x14ac:dyDescent="0.25">
      <c r="A12" s="3" t="s">
        <v>72</v>
      </c>
      <c r="B12" s="48">
        <f>SUM(B11:B11)</f>
        <v>6797871.3599999994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61</v>
      </c>
      <c r="B14" s="37">
        <f>SUM(B5,B10,B12)</f>
        <v>86595415.573193967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7">
        <f>B14*Pristalsregulering!C8*Pristalsregulering!C9</f>
        <v>87361935.677039817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56</v>
      </c>
      <c r="F1" s="52" t="s">
        <v>64</v>
      </c>
      <c r="G1" s="52" t="s">
        <v>73</v>
      </c>
      <c r="H1" s="52" t="s">
        <v>65</v>
      </c>
      <c r="I1" s="52" t="s">
        <v>50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24649068.789999999</v>
      </c>
      <c r="C2" s="49">
        <v>0</v>
      </c>
      <c r="D2" s="49">
        <f>B2+C2</f>
        <v>24649068.789999999</v>
      </c>
      <c r="E2" s="50">
        <f>D2</f>
        <v>24649068.789999999</v>
      </c>
      <c r="F2" s="49">
        <v>28076829.752360448</v>
      </c>
      <c r="G2" s="49">
        <v>0</v>
      </c>
      <c r="H2" s="49">
        <f>F2-G2</f>
        <v>28076829.752360448</v>
      </c>
      <c r="I2" s="49">
        <f>AVERAGEIF(E2:E4,"&lt;&gt;0")</f>
        <v>25201627.076433331</v>
      </c>
      <c r="J2" s="49">
        <v>21525811.803803071</v>
      </c>
      <c r="K2" s="39">
        <f>IF(H2&gt;I2,IF(I2&gt;J2,I2,J2),H2)</f>
        <v>25201627.076433331</v>
      </c>
    </row>
    <row r="3" spans="1:11" s="23" customFormat="1" x14ac:dyDescent="0.25">
      <c r="A3" s="28">
        <v>2014</v>
      </c>
      <c r="B3" s="49">
        <v>24307916.050000001</v>
      </c>
      <c r="C3" s="49"/>
      <c r="D3" s="49">
        <f t="shared" ref="D3:D4" si="0">B3+C3</f>
        <v>24307916.050000001</v>
      </c>
      <c r="E3" s="50">
        <f>D3*Pristalsregulering!C7</f>
        <v>24327362.38284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26213955</v>
      </c>
      <c r="C4" s="49"/>
      <c r="D4" s="49">
        <f t="shared" si="0"/>
        <v>26213955</v>
      </c>
      <c r="E4" s="50">
        <f>D4*Pristalsregulering!$C$6*Pristalsregulering!$C$7</f>
        <v>26628450.056459997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6" width="30.7109375" style="22" customWidth="1"/>
    <col min="7" max="7" width="30.7109375" style="55" customWidth="1"/>
    <col min="8" max="9" width="30.7109375" customWidth="1"/>
    <col min="10" max="11" width="30.7109375" style="22" customWidth="1"/>
    <col min="12" max="12" width="30.7109375" style="55" customWidth="1"/>
    <col min="13" max="14" width="30.7109375" customWidth="1"/>
    <col min="15" max="16" width="30.7109375" style="22" customWidth="1"/>
    <col min="17" max="17" width="30.7109375" style="55" customWidth="1"/>
    <col min="18" max="18" width="9.140625" hidden="1" customWidth="1"/>
    <col min="29" max="29" width="9.140625" hidden="1"/>
    <col min="75" max="75" width="9.140625" hidden="1"/>
    <col min="86" max="86" width="9.140625" hidden="1"/>
    <col min="94" max="95" width="9.140625" hidden="1"/>
    <col min="103" max="103" width="9.140625" hidden="1"/>
    <col min="109" max="109" width="9.140625" hidden="1"/>
    <col min="120" max="120" width="9.140625" hidden="1"/>
    <col min="128" max="129" width="9.140625" hidden="1"/>
    <col min="137" max="137" width="9.140625" hidden="1"/>
    <col min="143" max="143" width="9.140625" hidden="1"/>
    <col min="151" max="152" width="9.140625" hidden="1"/>
    <col min="160" max="160" width="9.140625" hidden="1"/>
    <col min="166" max="166" width="9.140625" hidden="1"/>
    <col min="177" max="177" width="9.140625" hidden="1"/>
    <col min="185" max="186" width="9.140625" hidden="1"/>
    <col min="194" max="194" width="9.140625" hidden="1"/>
    <col min="202" max="203" width="9.140625" hidden="1"/>
    <col min="211" max="211" width="9.140625" hidden="1"/>
    <col min="219" max="220" width="9.140625" hidden="1"/>
    <col min="228" max="228" width="9.140625" hidden="1"/>
    <col min="236" max="237" width="9.140625" hidden="1"/>
    <col min="245" max="245" width="9.140625" hidden="1"/>
    <col min="251" max="251" width="9.140625" hidden="1"/>
    <col min="259" max="260" width="9.140625" hidden="1"/>
    <col min="268" max="268" width="9.140625" hidden="1"/>
    <col min="276" max="277" width="9.140625" hidden="1"/>
    <col min="285" max="285" width="9.140625" hidden="1"/>
    <col min="293" max="294" width="9.140625" hidden="1"/>
    <col min="302" max="302" width="9.140625" hidden="1"/>
    <col min="310" max="311" width="9.140625" hidden="1"/>
    <col min="319" max="319" width="9.140625" hidden="1"/>
    <col min="325" max="325" width="9.140625" hidden="1"/>
    <col min="333" max="334" width="9.140625" hidden="1"/>
    <col min="342" max="16384" width="9.140625" hidden="1"/>
  </cols>
  <sheetData>
    <row r="1" spans="1:17" s="27" customFormat="1" ht="15.75" thickBot="1" x14ac:dyDescent="0.3">
      <c r="A1" s="9"/>
      <c r="B1" s="33" t="s">
        <v>75</v>
      </c>
      <c r="C1" s="33"/>
      <c r="D1" s="33"/>
      <c r="E1" s="33"/>
      <c r="F1" s="33"/>
      <c r="G1" s="63" t="s">
        <v>76</v>
      </c>
      <c r="H1" s="10"/>
      <c r="I1" s="10"/>
      <c r="J1" s="10"/>
      <c r="K1" s="10"/>
      <c r="L1" s="63" t="s">
        <v>77</v>
      </c>
      <c r="M1" s="10"/>
      <c r="N1" s="10"/>
      <c r="O1" s="10"/>
      <c r="P1" s="10"/>
      <c r="Q1" s="63"/>
    </row>
    <row r="2" spans="1:17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51</v>
      </c>
      <c r="F2" s="34" t="s">
        <v>52</v>
      </c>
      <c r="G2" s="56" t="s">
        <v>22</v>
      </c>
      <c r="H2" s="34" t="s">
        <v>23</v>
      </c>
      <c r="I2" s="34" t="s">
        <v>24</v>
      </c>
      <c r="J2" s="34" t="s">
        <v>51</v>
      </c>
      <c r="K2" s="34" t="s">
        <v>52</v>
      </c>
      <c r="L2" s="56" t="s">
        <v>22</v>
      </c>
      <c r="M2" s="34" t="s">
        <v>23</v>
      </c>
      <c r="N2" s="34" t="s">
        <v>24</v>
      </c>
      <c r="O2" s="34" t="s">
        <v>51</v>
      </c>
      <c r="P2" s="34" t="s">
        <v>52</v>
      </c>
      <c r="Q2" s="53" t="s">
        <v>25</v>
      </c>
    </row>
    <row r="3" spans="1:17" s="22" customFormat="1" x14ac:dyDescent="0.25">
      <c r="A3" s="28">
        <v>2016</v>
      </c>
      <c r="B3" s="72">
        <v>45000</v>
      </c>
      <c r="C3" s="72">
        <v>30000</v>
      </c>
      <c r="D3" s="72"/>
      <c r="E3" s="72">
        <v>41000</v>
      </c>
      <c r="F3" s="72">
        <v>92000</v>
      </c>
      <c r="G3" s="45">
        <f>B3</f>
        <v>45000</v>
      </c>
      <c r="H3" s="35">
        <f>C3</f>
        <v>30000</v>
      </c>
      <c r="I3" s="35">
        <f>D3</f>
        <v>0</v>
      </c>
      <c r="J3" s="35">
        <f>E3</f>
        <v>41000</v>
      </c>
      <c r="K3" s="35">
        <f>F3</f>
        <v>92000</v>
      </c>
      <c r="L3" s="45">
        <f>IF(G4=0,0,AVERAGEIF(G4:G6,"&lt;&gt;0"))+G3</f>
        <v>45000</v>
      </c>
      <c r="M3" s="38">
        <f>IF(H4=0,0,AVERAGEIF(H4:H6,"&lt;&gt;0"))+H3</f>
        <v>30000</v>
      </c>
      <c r="N3" s="38">
        <f>IF(I4=0,0,AVERAGEIF(I4:I6,"&lt;&gt;0"))+I3</f>
        <v>280186.88740800001</v>
      </c>
      <c r="O3" s="38">
        <f>IF(J4=0,0,AVERAGEIF(J4:J6,"&lt;&gt;0"))+J3</f>
        <v>41000</v>
      </c>
      <c r="P3" s="38">
        <f>IF(K4=0,0,AVERAGEIF(K4:K6,"&lt;&gt;0"))+K3</f>
        <v>92000</v>
      </c>
      <c r="Q3" s="57">
        <f>SUM(L3:P3)</f>
        <v>488186.88740800001</v>
      </c>
    </row>
    <row r="4" spans="1:17" x14ac:dyDescent="0.25">
      <c r="A4" s="28">
        <v>2015</v>
      </c>
      <c r="B4" s="35"/>
      <c r="C4" s="35"/>
      <c r="D4" s="35">
        <v>331676.09999999998</v>
      </c>
      <c r="E4" s="35"/>
      <c r="F4" s="35"/>
      <c r="G4" s="45">
        <f>B4</f>
        <v>0</v>
      </c>
      <c r="H4" s="35">
        <f>C4</f>
        <v>0</v>
      </c>
      <c r="I4" s="35">
        <f>D4</f>
        <v>331676.09999999998</v>
      </c>
      <c r="J4" s="35">
        <f>E4</f>
        <v>0</v>
      </c>
      <c r="K4" s="35">
        <f>F4</f>
        <v>0</v>
      </c>
      <c r="L4" s="45"/>
      <c r="M4" s="38"/>
      <c r="N4" s="38"/>
      <c r="O4" s="38"/>
      <c r="P4" s="38"/>
      <c r="Q4" s="54"/>
    </row>
    <row r="5" spans="1:17" x14ac:dyDescent="0.25">
      <c r="A5" s="28">
        <v>2014</v>
      </c>
      <c r="B5" s="35"/>
      <c r="C5" s="35"/>
      <c r="D5" s="35">
        <v>273919.40000000002</v>
      </c>
      <c r="E5" s="35"/>
      <c r="F5" s="35"/>
      <c r="G5" s="45">
        <f>B5*Pristalsregulering!$C$7</f>
        <v>0</v>
      </c>
      <c r="H5" s="35">
        <f>C5*Pristalsregulering!$C$7</f>
        <v>0</v>
      </c>
      <c r="I5" s="35">
        <f>D5*Pristalsregulering!$C$7</f>
        <v>274138.53551999998</v>
      </c>
      <c r="J5" s="35">
        <f>E5*Pristalsregulering!$C$7</f>
        <v>0</v>
      </c>
      <c r="K5" s="35">
        <f>F5*Pristalsregulering!$C$7</f>
        <v>0</v>
      </c>
      <c r="L5" s="45"/>
      <c r="M5" s="35"/>
      <c r="N5" s="35"/>
      <c r="O5" s="38"/>
      <c r="P5" s="38"/>
      <c r="Q5" s="45"/>
    </row>
    <row r="6" spans="1:17" x14ac:dyDescent="0.25">
      <c r="A6" s="28">
        <v>2013</v>
      </c>
      <c r="B6" s="35"/>
      <c r="C6" s="35"/>
      <c r="D6" s="35">
        <v>231092</v>
      </c>
      <c r="E6" s="35"/>
      <c r="F6" s="35"/>
      <c r="G6" s="45">
        <f>B6*Pristalsregulering!$C$7*Pristalsregulering!$C$6</f>
        <v>0</v>
      </c>
      <c r="H6" s="35">
        <f>C6*Pristalsregulering!$C$7*Pristalsregulering!$C$6</f>
        <v>0</v>
      </c>
      <c r="I6" s="35">
        <f>D6*Pristalsregulering!$C$7*Pristalsregulering!$C$6</f>
        <v>234746.02670399996</v>
      </c>
      <c r="J6" s="35">
        <f>E6*Pristalsregulering!$C$7*Pristalsregulering!$C$6</f>
        <v>0</v>
      </c>
      <c r="K6" s="35">
        <f>F6*Pristalsregulering!$C$7*Pristalsregulering!$C$6</f>
        <v>0</v>
      </c>
      <c r="L6" s="45"/>
      <c r="M6" s="35"/>
      <c r="N6" s="35"/>
      <c r="O6" s="38"/>
      <c r="P6" s="38"/>
      <c r="Q6" s="45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57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11750</v>
      </c>
      <c r="C3" s="42">
        <v>103520.04</v>
      </c>
      <c r="D3" s="42">
        <v>0</v>
      </c>
      <c r="E3" s="41">
        <f>B3</f>
        <v>11750</v>
      </c>
      <c r="F3" s="42">
        <f t="shared" ref="F3:G3" si="0">C3</f>
        <v>103520.04</v>
      </c>
      <c r="G3" s="43">
        <f t="shared" si="0"/>
        <v>0</v>
      </c>
      <c r="H3" s="44">
        <f>IF(E3=0,0,AVERAGEIF(E3:E5,"&lt;&gt;0"))+IF(F3=0,0,AVERAGEIF(F3:F5,"&lt;&gt;0"))+IF(G3=0,0,AVERAGEIF(G3:G5,"&lt;&gt;0"))</f>
        <v>98752.40466666664</v>
      </c>
    </row>
    <row r="4" spans="1:8" x14ac:dyDescent="0.25">
      <c r="A4" s="31">
        <v>2014</v>
      </c>
      <c r="B4" s="41">
        <v>11600</v>
      </c>
      <c r="C4" s="42">
        <v>78400</v>
      </c>
      <c r="D4" s="42">
        <v>0</v>
      </c>
      <c r="E4" s="41">
        <f>B4*Pristalsregulering!$C$7</f>
        <v>11609.279999999999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14300</v>
      </c>
      <c r="C5" s="42">
        <v>75200</v>
      </c>
      <c r="D5" s="42">
        <v>0</v>
      </c>
      <c r="E5" s="41">
        <f>B5*Pristalsregulering!$C$7*Pristalsregulering!$C$6</f>
        <v>14526.111599999997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70</v>
      </c>
      <c r="C1" s="76"/>
      <c r="D1" s="77"/>
      <c r="E1" s="78" t="s">
        <v>71</v>
      </c>
      <c r="F1" s="78"/>
      <c r="G1" s="78"/>
    </row>
    <row r="2" spans="1:7" s="22" customFormat="1" ht="15.75" thickTop="1" x14ac:dyDescent="0.25">
      <c r="A2" s="69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40825795.994972996</v>
      </c>
      <c r="C3" s="38">
        <v>6510361.0051000025</v>
      </c>
      <c r="D3" s="40">
        <v>700666.66666666663</v>
      </c>
      <c r="E3" s="35">
        <f>B3*Pristalsregulering!C2*Pristalsregulering!C3*Pristalsregulering!C4*Pristalsregulering!C5*Pristalsregulering!C6*Pristalsregulering!C7</f>
        <v>44447001.847937472</v>
      </c>
      <c r="F3" s="35">
        <v>6703767.4000818394</v>
      </c>
      <c r="G3" s="35">
        <f>D3</f>
        <v>700666.66666666663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58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74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2157541.9300000002</v>
      </c>
      <c r="D3" s="38">
        <v>0</v>
      </c>
      <c r="E3" s="40">
        <v>0</v>
      </c>
      <c r="F3" s="38">
        <f>B3</f>
        <v>0</v>
      </c>
      <c r="G3" s="38">
        <f>C3</f>
        <v>2157541.9300000002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2157541.9300000002</v>
      </c>
      <c r="L3" s="43">
        <f>AVERAGE(H3:H5)+AVERAGE(I3:I5)</f>
        <v>0</v>
      </c>
      <c r="M3" s="44">
        <f>SUM(J3:L3)</f>
        <v>2157541.9300000002</v>
      </c>
      <c r="N3" s="23"/>
    </row>
    <row r="4" spans="1:14" x14ac:dyDescent="0.25">
      <c r="A4" s="28">
        <v>2014</v>
      </c>
      <c r="B4" s="45">
        <v>0</v>
      </c>
      <c r="C4" s="38">
        <v>2511163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2513171.9304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2621944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2663402.1785279997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59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16261.37</v>
      </c>
      <c r="C2" s="42">
        <v>0</v>
      </c>
      <c r="D2" s="42">
        <v>94552.93</v>
      </c>
      <c r="E2" s="42">
        <v>4631443.0599999996</v>
      </c>
      <c r="F2" s="42">
        <v>0</v>
      </c>
      <c r="G2" s="42">
        <v>0</v>
      </c>
      <c r="H2" s="42">
        <v>2055614</v>
      </c>
      <c r="I2" s="42">
        <v>0</v>
      </c>
      <c r="J2" s="42"/>
      <c r="K2" s="42"/>
      <c r="L2" s="43">
        <v>0</v>
      </c>
      <c r="M2" s="44">
        <f>SUM(B2:L2)</f>
        <v>6797871.3599999994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60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2016-11-11T16:22:20Z</dcterms:modified>
</cp:coreProperties>
</file>