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9" i="2" l="1"/>
  <c r="F10" i="2"/>
  <c r="F11" i="2"/>
  <c r="F12" i="2"/>
  <c r="F13" i="2"/>
  <c r="F14" i="2"/>
  <c r="F15" i="2"/>
  <c r="F16" i="2"/>
  <c r="F17" i="2"/>
  <c r="E31" i="19" l="1"/>
  <c r="C36" i="19" l="1"/>
  <c r="E36" i="19" s="1"/>
  <c r="F22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6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21" i="7" s="1"/>
  <c r="F18" i="2" l="1"/>
  <c r="C9" i="10" s="1"/>
  <c r="C15" i="11" l="1"/>
  <c r="C28" i="8" s="1"/>
  <c r="C14" i="4"/>
  <c r="C26" i="8" s="1"/>
  <c r="C28" i="3"/>
  <c r="C24" i="8" s="1"/>
  <c r="F23" i="7"/>
  <c r="C18" i="8" s="1"/>
  <c r="C22" i="3"/>
  <c r="C23" i="8" s="1"/>
  <c r="C11" i="3"/>
  <c r="C21" i="8" s="1"/>
  <c r="C8" i="4"/>
  <c r="C25" i="8" s="1"/>
  <c r="C10" i="10"/>
  <c r="C17" i="8" s="1"/>
  <c r="F20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<sst xmlns="http://schemas.openxmlformats.org/spreadsheetml/2006/main" count="412" uniqueCount="207">
  <si>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</si>
  <si>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</si>
  <si>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</si>
  <si>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</si>
  <si>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</si>
  <si>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</si>
  <si>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</si>
  <si>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</si>
  <si>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</si>
  <si>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</si>
  <si>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</si>
  <si>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</si>
  <si>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</si>
  <si>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</si>
  <si>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</si>
  <si>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</si>
  <si>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</si>
  <si>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</si>
  <si>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</si>
  <si>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</si>
  <si>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</si>
  <si>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</si>
  <si>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</si>
  <si>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</si>
  <si>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</si>
  <si>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</si>
  <si>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</si>
  <si>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</si>
  <si>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</si>
  <si>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</si>
  <si>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</si>
  <si>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</si>
  <si>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</si>
  <si>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</si>
  <si>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</si>
  <si>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</si>
  <si>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</si>
  <si>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</si>
  <si>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</si>
  <si>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</si>
  <si>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</si>
  <si>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</si>
  <si>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</si>
  <si>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</si>
  <si>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</si>
  <si>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</si>
  <si>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</si>
  <si>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</si>
  <si>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</si>
  <si>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</si>
  <si>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</si>
  <si>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</si>
  <si>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</si>
  <si>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</si>
  <si>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</si>
  <si>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</si>
  <si>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</si>
  <si>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</si>
  <si>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</si>
  <si>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</si>
  <si>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</si>
  <si>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</si>
  <si>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</si>
  <si>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</si>
  <si>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</si>
  <si>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</si>
  <si>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</si>
  <si>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</si>
  <si>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</si>
  <si>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</si>
  <si>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</si>
  <si>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</si>
  <si>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</si>
  <si>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</si>
  <si>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</si>
  <si>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</si>
  <si>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</si>
  <si>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</si>
  <si>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</si>
  <si>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</si>
  <si>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</si>
  <si>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</si>
  <si>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</si>
  <si>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</si>
  <si>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</si>
  <si>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</si>
  <si>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</si>
  <si>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</si>
  <si>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</si>
  <si>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</si>
  <si>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</si>
  <si>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</si>
  <si>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</si>
  <si>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</si>
  <si>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</si>
  <si>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</si>
  <si>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</si>
  <si>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</si>
  <si>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</si>
  <si>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</si>
  <si>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</si>
  <si>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</si>
  <si>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</si>
  <si>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</si>
  <si>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</si>
  <si>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</si>
  <si>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</si>
  <si>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</si>
  <si>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</si>
  <si>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</si>
  <si>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</si>
  <si>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</si>
  <si>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</si>
  <si>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</si>
  <si>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</si>
  <si>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</si>
  <si>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</si>
  <si>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</si>
  <si>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</si>
  <si>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</si>
  <si>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</si>
  <si>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</si>
  <si>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</si>
  <si>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</si>
  <si>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</si>
  <si>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</si>
  <si>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</si>
  <si>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</si>
  <si>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</si>
  <si>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</si>
  <si>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</si>
  <si>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</si>
  <si>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</si>
  <si>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</si>
  <si>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</si>
  <si>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</si>
  <si>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</si>
  <si>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</si>
  <si>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</si>
  <si>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</si>
  <si>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</si>
  <si>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</si>
  <si>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</si>
  <si>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</si>
  <si>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</si>
  <si>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</si>
  <si>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</si>
  <si>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</si>
  <si>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</si>
  <si>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</si>
  <si>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</si>
  <si>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</si>
  <si>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</si>
  <si>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</si>
  <si>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</si>
  <si>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</si>
  <si>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</si>
  <si>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</si>
  <si>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</si>
  <si>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</si>
  <si>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</si>
  <si>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</si>
  <si>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</si>
  <si>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</si>
  <si>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</si>
  <si>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</si>
  <si>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</si>
  <si>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</si>
  <si>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</si>
  <si>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</si>
  <si>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</si>
  <si>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</si>
  <si>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</si>
  <si>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</si>
  <si>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</si>
  <si>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</si>
  <si>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</si>
  <si>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</si>
  <si>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</si>
  <si>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</si>
  <si>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</si>
  <si>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Filteranlæg, åbne filtre, enkelt filtrering, Kontruktioner</t>
  </si>
  <si>
    <t>2014</t>
  </si>
  <si>
    <t>50</t>
  </si>
  <si>
    <t>Filteranlæg, åbne filtre, enkelt filtrering, Mek./EL</t>
  </si>
  <si>
    <t>25</t>
  </si>
  <si>
    <t>Ventiler på ledningsnet ≤ Ø50 mm</t>
  </si>
  <si>
    <t>75</t>
  </si>
  <si>
    <t>Stik på ledningsnet, Konstruktioner</t>
  </si>
  <si>
    <t>Ø 50mm &lt; Ledningsnet ≤ Ø110 mm</t>
  </si>
  <si>
    <t>SRO-anlæg, vandværk</t>
  </si>
  <si>
    <t>10</t>
  </si>
  <si>
    <t>Instrumenter (flowmåler+tryk transducer+alarmer)</t>
  </si>
  <si>
    <t>Afregningsmålere, elektroniske &gt; Ø110 mm</t>
  </si>
  <si>
    <t xml:space="preserve">Afregningsmålere, mekaniske </t>
  </si>
  <si>
    <t>8</t>
  </si>
  <si>
    <t>Beluftningsanlæg, iltningstrappe, Kontruktioner</t>
  </si>
  <si>
    <t>Pumpe inkl. stigrør og forerørsforsejlinger mv.</t>
  </si>
  <si>
    <t>Pumpestation (inkl. evt. hydrofor)/trykforøger, Konstruktioner</t>
  </si>
  <si>
    <t>SRO-brønd/kvarterbrønd/sektionsbrønd, Konstruktioner</t>
  </si>
  <si>
    <t>Tjenestemandspensioner</t>
  </si>
  <si>
    <t>Ejendomsskatter</t>
  </si>
  <si>
    <t>Selskabsskatter</t>
  </si>
  <si>
    <t>Rønne Vand AS</t>
  </si>
  <si>
    <t>V160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</si>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</sst>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Rønne Vand AS</v>
      </c>
      <c r="B1" s="56"/>
      <c r="C1" s="56"/>
      <c r="D1" s="56"/>
      <c r="E1" s="56"/>
    </row>
    <row r="2" spans="1:5" x14ac:dyDescent="0.25">
      <c r="A2" s="220" t="str">
        <f>'1. Forside'!A2</f>
        <v>V160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Rønne Vand AS</v>
      </c>
      <c r="B1" s="26"/>
      <c r="C1" s="26"/>
      <c r="D1" s="26"/>
      <c r="E1" s="26"/>
    </row>
    <row r="2" spans="1:5" x14ac:dyDescent="0.25">
      <c r="A2" s="221" t="str">
        <f>'1. Forside'!A2</f>
        <v>V160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32398.34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75000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-42601.66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Rønne Vand AS</v>
      </c>
      <c r="B1" s="26"/>
      <c r="C1" s="26"/>
      <c r="D1" s="26"/>
      <c r="E1" s="26"/>
    </row>
    <row r="2" spans="1:5" x14ac:dyDescent="0.25">
      <c r="A2" s="221" t="str">
        <f>'1. Forside'!A2</f>
        <v>V160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-2642867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-2220609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-422258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-422258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Rønne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16184974.956790766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4185053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160059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16192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171958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4533262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72000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72000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-2700906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-2700906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1904356</v>
      </c>
      <c r="D27" s="79" t="s">
        <v>0</v>
      </c>
      <c r="E27" s="10">
        <f>IF(C27&lt;0,0,-C27)</f>
        <v>-1904356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15074284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15074284</v>
      </c>
      <c r="D36" s="79" t="s">
        <v>0</v>
      </c>
      <c r="E36" s="10">
        <f>-C36</f>
        <v>-15074284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-793665.04320923425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Rønne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V160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292550</v>
      </c>
      <c r="D7" s="222" t="s">
        <v>0</v>
      </c>
      <c r="E7" s="223">
        <v>961103</v>
      </c>
      <c r="F7" s="222" t="s">
        <v>0</v>
      </c>
      <c r="G7" s="223">
        <v>939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-292550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292550</v>
      </c>
      <c r="D11" s="226" t="s">
        <v>0</v>
      </c>
      <c r="E11" s="55">
        <f>C11+E7-E8-E9</f>
        <v>1253653</v>
      </c>
      <c r="F11" s="226" t="s">
        <v>0</v>
      </c>
      <c r="G11" s="55">
        <f>E11+G7-G8-G9</f>
        <v>1254592</v>
      </c>
      <c r="H11" s="226" t="s">
        <v>0</v>
      </c>
      <c r="I11" s="55">
        <f>G11+I7-I8-I9</f>
        <v>1254592</v>
      </c>
      <c r="J11" s="226" t="s">
        <v>0</v>
      </c>
      <c r="K11" s="55">
        <f>K7-K8-K9+K10+I11</f>
        <v>962042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Rønne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6756430.9152129833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-25674.437477809337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-337822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6392934.4777351739</v>
      </c>
      <c r="D13" s="79" t="s">
        <v>0</v>
      </c>
      <c r="E13" s="6">
        <f>C13</f>
        <v>6392934.4777351739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3869364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205</v>
      </c>
      <c r="C16" s="14">
        <f>'6. Gennemførte investeringer'!F20</f>
        <v>383753.66499999998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106120.41666666669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investeringer'!F23</f>
        <v>114583.33333333331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4473821.415</v>
      </c>
      <c r="D19" s="79" t="s">
        <v>0</v>
      </c>
      <c r="E19" s="8">
        <f>C19</f>
        <v>4473821.415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993000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5687630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69000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-143321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-42601.66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6598707.3399999999</v>
      </c>
      <c r="D29" s="79" t="s">
        <v>0</v>
      </c>
      <c r="E29" s="6">
        <f>C29</f>
        <v>6598707.3399999999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-422258</v>
      </c>
      <c r="D31" s="79" t="s">
        <v>0</v>
      </c>
      <c r="E31" s="10">
        <f>C31</f>
        <v>-422258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-793665.04320923425</v>
      </c>
      <c r="D33" s="79" t="s">
        <v>0</v>
      </c>
      <c r="E33" s="12">
        <f>C33</f>
        <v>-793665.04320923425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16249540.189525938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871000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18.656188506918411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12.126188506918412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Rønne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V160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6756430.9152129833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6756430.9152129833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6756430.9152129833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-25674.437477809337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Rønne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3647797.0511234896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6730756.4777351739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6756430.9152129833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2087061.5097092907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337822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Rønne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180788986.01550049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3869364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3869364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Rønne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689155</v>
      </c>
      <c r="F8" s="34">
        <f t="shared" ref="F8" si="0">E8/D8</f>
        <v>13783.1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462964</v>
      </c>
      <c r="F9" s="34">
        <f t="shared" ref="F9:F17" si="1">E9/D9</f>
        <v>18518.560000000001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 t="s">
        <v>182</v>
      </c>
      <c r="D10" s="31" t="s">
        <v>183</v>
      </c>
      <c r="E10" s="32">
        <v>45637</v>
      </c>
      <c r="F10" s="34">
        <f t="shared" si="1"/>
        <v>912.74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182</v>
      </c>
      <c r="D11" s="31" t="s">
        <v>187</v>
      </c>
      <c r="E11" s="32">
        <v>585031</v>
      </c>
      <c r="F11" s="34">
        <f t="shared" si="1"/>
        <v>7800.413333333333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182</v>
      </c>
      <c r="D12" s="31" t="s">
        <v>187</v>
      </c>
      <c r="E12" s="32">
        <v>22972</v>
      </c>
      <c r="F12" s="34">
        <f t="shared" si="1"/>
        <v>306.29333333333335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182</v>
      </c>
      <c r="D13" s="31" t="s">
        <v>187</v>
      </c>
      <c r="E13" s="32">
        <v>284922</v>
      </c>
      <c r="F13" s="34">
        <f t="shared" si="1"/>
        <v>3798.96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182</v>
      </c>
      <c r="D14" s="31" t="s">
        <v>191</v>
      </c>
      <c r="E14" s="32">
        <v>327383</v>
      </c>
      <c r="F14" s="34">
        <f t="shared" si="1"/>
        <v>32738.3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182</v>
      </c>
      <c r="D15" s="31" t="s">
        <v>191</v>
      </c>
      <c r="E15" s="32">
        <v>58432</v>
      </c>
      <c r="F15" s="34">
        <f t="shared" si="1"/>
        <v>5843.2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182</v>
      </c>
      <c r="D16" s="31" t="s">
        <v>191</v>
      </c>
      <c r="E16" s="32">
        <v>74371</v>
      </c>
      <c r="F16" s="34">
        <f t="shared" si="1"/>
        <v>7437.1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182</v>
      </c>
      <c r="D17" s="31" t="s">
        <v>195</v>
      </c>
      <c r="E17" s="32">
        <v>150039</v>
      </c>
      <c r="F17" s="34">
        <f t="shared" si="1"/>
        <v>18754.875</v>
      </c>
      <c r="G17" s="35" t="s">
        <v>0</v>
      </c>
      <c r="H17" s="26"/>
    </row>
    <row r="18" spans="1:8" s="148" customFormat="1" x14ac:dyDescent="0.25">
      <c r="A18" s="26"/>
      <c r="B18" s="23" t="s">
        <v>71</v>
      </c>
      <c r="C18" s="158"/>
      <c r="D18" s="158"/>
      <c r="E18" s="158"/>
      <c r="F18" s="36">
        <f>SUM(F8:F17)</f>
        <v>109893.54166666667</v>
      </c>
      <c r="G18" s="37" t="s">
        <v>0</v>
      </c>
      <c r="H18" s="26"/>
    </row>
    <row r="19" spans="1:8" s="148" customFormat="1" x14ac:dyDescent="0.25">
      <c r="A19" s="26"/>
      <c r="B19" s="107" t="s">
        <v>132</v>
      </c>
      <c r="C19" s="159"/>
      <c r="D19" s="159"/>
      <c r="E19" s="159"/>
      <c r="F19" s="66">
        <v>273860.12333333329</v>
      </c>
      <c r="G19" s="37" t="s">
        <v>0</v>
      </c>
      <c r="H19" s="26"/>
    </row>
    <row r="20" spans="1:8" s="148" customFormat="1" x14ac:dyDescent="0.25">
      <c r="A20" s="26"/>
      <c r="B20" s="39" t="s">
        <v>68</v>
      </c>
      <c r="C20" s="160"/>
      <c r="D20" s="160"/>
      <c r="E20" s="161"/>
      <c r="F20" s="38">
        <f>F18+F19</f>
        <v>383753.66499999998</v>
      </c>
      <c r="G20" s="38" t="s">
        <v>0</v>
      </c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hidden="1" x14ac:dyDescent="0.25"/>
    <row r="25" spans="1:8" s="148" customFormat="1" hidden="1" x14ac:dyDescent="0.25"/>
    <row r="26" spans="1:8" s="148" customFormat="1" hidden="1" x14ac:dyDescent="0.25"/>
    <row r="27" spans="1:8" s="148" customFormat="1" ht="14.45" hidden="1" customHeight="1" x14ac:dyDescent="0.25"/>
    <row r="28" spans="1:8" s="148" customFormat="1" ht="14.4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Rønne Vand AS</v>
      </c>
      <c r="B1" s="162"/>
      <c r="C1" s="162"/>
      <c r="D1" s="162"/>
      <c r="E1" s="162"/>
    </row>
    <row r="2" spans="1:5" x14ac:dyDescent="0.25">
      <c r="A2" s="1" t="str">
        <f>'1. Forside'!A2</f>
        <v>V160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52500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61166.666666666664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investeringer'!F18</f>
        <v>109893.54166666667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106120.41666666669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Rønne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196</v>
      </c>
      <c r="C8" s="30">
        <v>2015</v>
      </c>
      <c r="D8" s="31">
        <v>50</v>
      </c>
      <c r="E8" s="32">
        <v>300000</v>
      </c>
      <c r="F8" s="45">
        <f>E8/D8</f>
        <v>6000</v>
      </c>
      <c r="G8" s="35" t="s">
        <v>0</v>
      </c>
      <c r="H8" s="26"/>
    </row>
    <row r="9" spans="1:8" s="148" customFormat="1" x14ac:dyDescent="0.25">
      <c r="A9" s="26"/>
      <c r="B9" s="29" t="s">
        <v>197</v>
      </c>
      <c r="C9" s="30">
        <v>2015</v>
      </c>
      <c r="D9" s="31">
        <v>15</v>
      </c>
      <c r="E9" s="32">
        <v>20000</v>
      </c>
      <c r="F9" s="45">
        <f t="shared" ref="F9:F20" si="0">E9/D9</f>
        <v>1333.3333333333333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75</v>
      </c>
      <c r="E10" s="32">
        <v>400000</v>
      </c>
      <c r="F10" s="45">
        <f t="shared" si="0"/>
        <v>5333.333333333333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>
        <v>2015</v>
      </c>
      <c r="D11" s="31">
        <v>75</v>
      </c>
      <c r="E11" s="32">
        <v>600000</v>
      </c>
      <c r="F11" s="45">
        <f t="shared" si="0"/>
        <v>8000</v>
      </c>
      <c r="G11" s="35" t="s">
        <v>0</v>
      </c>
      <c r="H11" s="26"/>
    </row>
    <row r="12" spans="1:8" s="148" customFormat="1" x14ac:dyDescent="0.25">
      <c r="A12" s="26"/>
      <c r="B12" s="29" t="s">
        <v>194</v>
      </c>
      <c r="C12" s="30">
        <v>2015</v>
      </c>
      <c r="D12" s="31">
        <v>8</v>
      </c>
      <c r="E12" s="32">
        <v>100000</v>
      </c>
      <c r="F12" s="45">
        <f t="shared" si="0"/>
        <v>12500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>
        <v>2015</v>
      </c>
      <c r="D13" s="31">
        <v>10</v>
      </c>
      <c r="E13" s="32">
        <v>100000</v>
      </c>
      <c r="F13" s="45">
        <f t="shared" si="0"/>
        <v>10000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>
        <v>2016</v>
      </c>
      <c r="D14" s="31">
        <v>75</v>
      </c>
      <c r="E14" s="32">
        <v>100000</v>
      </c>
      <c r="F14" s="45">
        <f t="shared" si="0"/>
        <v>1333.3333333333333</v>
      </c>
      <c r="G14" s="35" t="s">
        <v>0</v>
      </c>
      <c r="H14" s="26"/>
    </row>
    <row r="15" spans="1:8" s="148" customFormat="1" x14ac:dyDescent="0.25">
      <c r="A15" s="26"/>
      <c r="B15" s="29" t="s">
        <v>198</v>
      </c>
      <c r="C15" s="30">
        <v>2016</v>
      </c>
      <c r="D15" s="31">
        <v>50</v>
      </c>
      <c r="E15" s="32">
        <v>100000</v>
      </c>
      <c r="F15" s="45">
        <f t="shared" si="0"/>
        <v>2000</v>
      </c>
      <c r="G15" s="35" t="s">
        <v>0</v>
      </c>
      <c r="H15" s="26"/>
    </row>
    <row r="16" spans="1:8" s="148" customFormat="1" x14ac:dyDescent="0.25">
      <c r="A16" s="26"/>
      <c r="B16" s="29" t="s">
        <v>197</v>
      </c>
      <c r="C16" s="30">
        <v>2016</v>
      </c>
      <c r="D16" s="31">
        <v>15</v>
      </c>
      <c r="E16" s="32">
        <v>20000</v>
      </c>
      <c r="F16" s="45">
        <f t="shared" si="0"/>
        <v>1333.3333333333333</v>
      </c>
      <c r="G16" s="35" t="s">
        <v>0</v>
      </c>
      <c r="H16" s="26"/>
    </row>
    <row r="17" spans="1:8" s="148" customFormat="1" x14ac:dyDescent="0.25">
      <c r="A17" s="26"/>
      <c r="B17" s="29" t="s">
        <v>181</v>
      </c>
      <c r="C17" s="30">
        <v>2016</v>
      </c>
      <c r="D17" s="31">
        <v>50</v>
      </c>
      <c r="E17" s="32">
        <v>400000</v>
      </c>
      <c r="F17" s="45">
        <f t="shared" si="0"/>
        <v>8000</v>
      </c>
      <c r="G17" s="35" t="s">
        <v>0</v>
      </c>
      <c r="H17" s="26"/>
    </row>
    <row r="18" spans="1:8" s="148" customFormat="1" x14ac:dyDescent="0.25">
      <c r="A18" s="26"/>
      <c r="B18" s="29" t="s">
        <v>193</v>
      </c>
      <c r="C18" s="30">
        <v>2016</v>
      </c>
      <c r="D18" s="31">
        <v>10</v>
      </c>
      <c r="E18" s="32">
        <v>200000</v>
      </c>
      <c r="F18" s="45">
        <f t="shared" si="0"/>
        <v>20000</v>
      </c>
      <c r="G18" s="35" t="s">
        <v>0</v>
      </c>
      <c r="H18" s="26"/>
    </row>
    <row r="19" spans="1:8" s="148" customFormat="1" x14ac:dyDescent="0.25">
      <c r="A19" s="26"/>
      <c r="B19" s="29" t="s">
        <v>194</v>
      </c>
      <c r="C19" s="30">
        <v>2016</v>
      </c>
      <c r="D19" s="31">
        <v>8</v>
      </c>
      <c r="E19" s="32">
        <v>150000</v>
      </c>
      <c r="F19" s="45">
        <f t="shared" si="0"/>
        <v>18750</v>
      </c>
      <c r="G19" s="35" t="s">
        <v>0</v>
      </c>
      <c r="H19" s="26"/>
    </row>
    <row r="20" spans="1:8" s="148" customFormat="1" x14ac:dyDescent="0.25">
      <c r="A20" s="26"/>
      <c r="B20" s="29" t="s">
        <v>199</v>
      </c>
      <c r="C20" s="30">
        <v>2016</v>
      </c>
      <c r="D20" s="31">
        <v>50</v>
      </c>
      <c r="E20" s="32">
        <v>1000000</v>
      </c>
      <c r="F20" s="45">
        <f t="shared" si="0"/>
        <v>20000</v>
      </c>
      <c r="G20" s="35" t="s">
        <v>0</v>
      </c>
      <c r="H20" s="26"/>
    </row>
    <row r="21" spans="1:8" s="148" customFormat="1" x14ac:dyDescent="0.25">
      <c r="A21" s="26"/>
      <c r="B21" s="109" t="s">
        <v>72</v>
      </c>
      <c r="C21" s="165"/>
      <c r="D21" s="166"/>
      <c r="E21" s="167"/>
      <c r="F21" s="46">
        <f>SUMIF(C8:C20,"2015",F8:F20)</f>
        <v>43166.666666666664</v>
      </c>
      <c r="G21" s="47" t="s">
        <v>0</v>
      </c>
      <c r="H21" s="26"/>
    </row>
    <row r="22" spans="1:8" s="148" customFormat="1" x14ac:dyDescent="0.25">
      <c r="A22" s="26"/>
      <c r="B22" s="107" t="s">
        <v>130</v>
      </c>
      <c r="C22" s="168"/>
      <c r="D22" s="169"/>
      <c r="E22" s="170"/>
      <c r="F22" s="46">
        <f>SUMIF(C8:C20,"2016",F8:F20)</f>
        <v>71416.666666666657</v>
      </c>
      <c r="G22" s="47" t="s">
        <v>0</v>
      </c>
      <c r="H22" s="26"/>
    </row>
    <row r="23" spans="1:8" s="148" customFormat="1" x14ac:dyDescent="0.25">
      <c r="A23" s="26"/>
      <c r="B23" s="50" t="s">
        <v>36</v>
      </c>
      <c r="C23" s="171"/>
      <c r="D23" s="172"/>
      <c r="E23" s="172"/>
      <c r="F23" s="48">
        <f>F21+F22</f>
        <v>114583.33333333331</v>
      </c>
      <c r="G23" s="49" t="s">
        <v>0</v>
      </c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173"/>
      <c r="G26" s="173"/>
      <c r="H26" s="26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t="12" hidden="1" customHeight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>
      <selection activeCell="B16" sqref="B16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Rønne Vand AS</v>
      </c>
      <c r="B1" s="56"/>
      <c r="C1" s="56"/>
      <c r="D1" s="176"/>
      <c r="E1" s="56"/>
    </row>
    <row r="2" spans="1:5" x14ac:dyDescent="0.25">
      <c r="A2" s="220" t="str">
        <f>'1. Forside'!A2</f>
        <v>V160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200</v>
      </c>
      <c r="C8" s="51">
        <v>260000</v>
      </c>
      <c r="D8" s="181" t="s">
        <v>0</v>
      </c>
      <c r="E8" s="56"/>
    </row>
    <row r="9" spans="1:5" x14ac:dyDescent="0.25">
      <c r="A9" s="56"/>
      <c r="B9" s="206" t="s">
        <v>201</v>
      </c>
      <c r="C9" s="51">
        <v>8000</v>
      </c>
      <c r="D9" s="181" t="s">
        <v>0</v>
      </c>
      <c r="E9" s="56"/>
    </row>
    <row r="10" spans="1:5" x14ac:dyDescent="0.25">
      <c r="A10" s="56"/>
      <c r="B10" s="206" t="s">
        <v>202</v>
      </c>
      <c r="C10" s="51">
        <v>692000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993000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176</v>
      </c>
      <c r="C14" s="178"/>
      <c r="D14" s="179"/>
      <c r="E14" s="56"/>
    </row>
    <row r="15" spans="1:5" x14ac:dyDescent="0.25">
      <c r="A15" s="56"/>
      <c r="B15" s="53" t="s">
        <v>206</v>
      </c>
      <c r="C15" s="180">
        <v>5687630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5687630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44000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25000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69000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5698179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5841500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-143321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t="14.45" x14ac:dyDescent="0.3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2015-09-17T12:37:47Z</dcterms:modified>
</cp:coreProperties>
</file>