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005" yWindow="15" windowWidth="14790" windowHeight="1251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0" i="6"/>
  <c r="E15" i="5"/>
  <c r="E10" i="5"/>
  <c r="E15" i="4"/>
  <c r="E10" i="4"/>
  <c r="G10" i="9"/>
  <c r="G36" i="13"/>
  <c r="E35" i="13" l="1"/>
  <c r="G35" i="13" s="1"/>
  <c r="E27" i="13"/>
  <c r="E19" i="13"/>
  <c r="E15" i="13"/>
  <c r="G11" i="12"/>
  <c r="G29" i="12"/>
  <c r="E19" i="2" s="1"/>
  <c r="G23" i="12"/>
  <c r="E18" i="2" s="1"/>
  <c r="G17" i="12"/>
  <c r="E17" i="2" s="1"/>
  <c r="F11" i="11"/>
  <c r="F10" i="11"/>
  <c r="F12" i="11" s="1"/>
  <c r="G35" i="12" s="1"/>
  <c r="E14" i="2"/>
  <c r="G14" i="2" s="1"/>
  <c r="G12" i="7"/>
  <c r="G15" i="6"/>
  <c r="G15" i="5"/>
  <c r="G15" i="4"/>
  <c r="E23" i="2"/>
  <c r="G23" i="2" s="1"/>
  <c r="E16" i="2"/>
  <c r="E10" i="2"/>
  <c r="E28" i="13" l="1"/>
  <c r="G28" i="13" s="1"/>
  <c r="G36" i="12"/>
  <c r="E20" i="2" s="1"/>
  <c r="E21" i="2" s="1"/>
  <c r="G21" i="2" s="1"/>
  <c r="G9" i="9"/>
  <c r="E9" i="2"/>
  <c r="G11" i="9" l="1"/>
  <c r="E11" i="2" s="1"/>
  <c r="E12" i="2" l="1"/>
  <c r="G12" i="2" s="1"/>
  <c r="G24" i="2" s="1"/>
  <c r="E9" i="4"/>
  <c r="E12" i="4" l="1"/>
  <c r="E13" i="4" s="1"/>
  <c r="G13" i="4" s="1"/>
  <c r="G16" i="4" s="1"/>
  <c r="E9" i="5"/>
  <c r="E11" i="4"/>
  <c r="E12" i="5" l="1"/>
  <c r="E9" i="6" s="1"/>
  <c r="E11" i="5"/>
  <c r="E12" i="6" l="1"/>
  <c r="E11" i="6"/>
  <c r="E13" i="6" s="1"/>
  <c r="G13" i="6" s="1"/>
  <c r="G16" i="6" s="1"/>
  <c r="E13" i="5"/>
  <c r="G13" i="5" s="1"/>
  <c r="G16" i="5" s="1"/>
</calcChain>
</file>

<file path=xl/sharedStrings.xml><?xml version="1.0" encoding="utf-8"?>
<sst xmlns="http://schemas.openxmlformats.org/spreadsheetml/2006/main" count="255" uniqueCount="125">
  <si>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</si>
  <si>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</si>
  <si>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</si>
  <si>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</si>
  <si>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</si>
  <si>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</si>
  <si>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</si>
  <si>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</si>
  <si>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</si>
  <si>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</si>
  <si>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</si>
  <si>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</si>
  <si>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</si>
  <si>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</si>
  <si>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</si>
  <si>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</si>
  <si>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</si>
  <si>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</si>
  <si>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</si>
  <si>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</si>
  <si>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</si>
  <si>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</si>
  <si>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</si>
  <si>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</si>
  <si>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</si>
  <si>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</si>
  <si>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</si>
  <si>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</si>
  <si>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</si>
  <si>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</si>
  <si>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</si>
  <si>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</si>
  <si>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</si>
  <si>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</si>
  <si>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</si>
  <si>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</si>
  <si>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</si>
  <si>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</si>
  <si>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</si>
  <si>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</si>
  <si>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</si>
  <si>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</si>
  <si>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</si>
  <si>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</si>
  <si>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</si>
  <si>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</si>
  <si>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</si>
  <si>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</si>
  <si>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</si>
  <si>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</si>
  <si>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</si>
  <si>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</si>
  <si>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</si>
  <si>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</si>
  <si>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</si>
  <si>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</si>
  <si>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</si>
  <si>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</si>
  <si>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</si>
  <si>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</si>
  <si>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</si>
  <si>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</si>
  <si>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</si>
  <si>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</si>
  <si>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</si>
  <si>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</si>
  <si>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</si>
  <si>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</si>
  <si>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</si>
  <si>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</si>
  <si>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</si>
  <si>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</si>
  <si>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</si>
  <si>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</si>
  <si>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</si>
  <si>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</si>
  <si>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</si>
  <si>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</si>
  <si>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</si>
  <si>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</si>
  <si>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</si>
  <si>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</si>
  <si>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</si>
  <si>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</si>
  <si>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</si>
  <si>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</si>
  <si>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</si>
  <si>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</si>
  <si>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</si>
  <si>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</si>
  <si>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</si>
  <si>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</si>
  <si>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</si>
  <si>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</si>
  <si>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</si>
  <si>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</si>
  <si>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</si>
  <si>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</si>
  <si>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</si>
  <si>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</si>
  <si>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</si>
  <si>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</si>
  <si>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</si>
  <si>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</si>
  <si>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</si>
  <si>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</si>
  <si>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</si>
  <si>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</si>
  <si>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</si>
  <si>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</si>
  <si>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</si>
  <si>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</si>
  <si>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</si>
  <si>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</si>
  <si>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</si>
  <si>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 xml:space="preserve">Ø 200 mm &lt; Ledningsnet ≤ Ø 500 mm </t>
  </si>
  <si>
    <t>Pumpeinstallation Miljøklasse A (300-600 l/s) - SRO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</si>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</sst>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Border="0" applyAlignment="0"/>
    <xf numFmtId="0" fontId="14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0" fontId="8" fillId="4" borderId="2" xfId="0" applyFont="1" applyFill="1" applyBorder="1" applyAlignment="1">
      <alignment horizontal="center" wrapText="1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5" fillId="8" borderId="7" xfId="4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4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4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4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5" fillId="6" borderId="7" xfId="4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5" fillId="7" borderId="7" xfId="4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4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5">
    <cellStyle name="Komma" xfId="1" builtinId="3"/>
    <cellStyle name="Link" xfId="4" builtinId="8"/>
    <cellStyle name="Normal" xfId="0" builtinId="0"/>
    <cellStyle name="Normal 12" xfId="2"/>
    <cellStyle name="Normal 31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114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topLeftCell="A8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1" t="s">
        <v>122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8" t="s">
        <v>95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74" t="s">
        <v>82</v>
      </c>
      <c r="C9" s="75"/>
      <c r="D9" s="75"/>
      <c r="E9" s="75"/>
      <c r="F9" s="76"/>
      <c r="G9" s="36">
        <v>729950</v>
      </c>
      <c r="H9" s="10" t="s">
        <v>4</v>
      </c>
      <c r="I9" s="1"/>
    </row>
    <row r="10" spans="1:9" x14ac:dyDescent="0.25">
      <c r="A10" s="1"/>
      <c r="B10" s="74" t="s">
        <v>83</v>
      </c>
      <c r="C10" s="75"/>
      <c r="D10" s="75"/>
      <c r="E10" s="75"/>
      <c r="F10" s="76"/>
      <c r="G10" s="36">
        <v>833500</v>
      </c>
      <c r="H10" s="10" t="s">
        <v>4</v>
      </c>
      <c r="I10" s="1"/>
    </row>
    <row r="11" spans="1:9" x14ac:dyDescent="0.25">
      <c r="A11" s="1"/>
      <c r="B11" s="81" t="s">
        <v>84</v>
      </c>
      <c r="C11" s="82"/>
      <c r="D11" s="82"/>
      <c r="E11" s="82"/>
      <c r="F11" s="83"/>
      <c r="G11" s="34">
        <f>G9-G10</f>
        <v>-103550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8" t="s">
        <v>85</v>
      </c>
      <c r="C14" s="89"/>
      <c r="D14" s="89"/>
      <c r="E14" s="89"/>
      <c r="F14" s="89"/>
      <c r="G14" s="89"/>
      <c r="H14" s="90"/>
      <c r="I14" s="1"/>
    </row>
    <row r="15" spans="1:9" x14ac:dyDescent="0.25">
      <c r="A15" s="1"/>
      <c r="B15" s="74" t="s">
        <v>86</v>
      </c>
      <c r="C15" s="75"/>
      <c r="D15" s="75"/>
      <c r="E15" s="75"/>
      <c r="F15" s="76"/>
      <c r="G15" s="36">
        <v>2587547</v>
      </c>
      <c r="H15" s="10" t="s">
        <v>4</v>
      </c>
      <c r="I15" s="1"/>
    </row>
    <row r="16" spans="1:9" x14ac:dyDescent="0.25">
      <c r="A16" s="1"/>
      <c r="B16" s="74" t="s">
        <v>87</v>
      </c>
      <c r="C16" s="75"/>
      <c r="D16" s="75"/>
      <c r="E16" s="75"/>
      <c r="F16" s="76"/>
      <c r="G16" s="36">
        <v>2600000</v>
      </c>
      <c r="H16" s="10" t="s">
        <v>4</v>
      </c>
      <c r="I16" s="1"/>
    </row>
    <row r="17" spans="1:9" x14ac:dyDescent="0.25">
      <c r="A17" s="1"/>
      <c r="B17" s="81" t="s">
        <v>88</v>
      </c>
      <c r="C17" s="82"/>
      <c r="D17" s="82"/>
      <c r="E17" s="82"/>
      <c r="F17" s="83"/>
      <c r="G17" s="34">
        <f>G15-G16</f>
        <v>-12453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8" t="s">
        <v>96</v>
      </c>
      <c r="C20" s="89"/>
      <c r="D20" s="89"/>
      <c r="E20" s="89"/>
      <c r="F20" s="89"/>
      <c r="G20" s="89"/>
      <c r="H20" s="90"/>
      <c r="I20" s="1"/>
    </row>
    <row r="21" spans="1:9" x14ac:dyDescent="0.25">
      <c r="A21" s="1"/>
      <c r="B21" s="74" t="s">
        <v>97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99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98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ht="30" customHeight="1" x14ac:dyDescent="0.25">
      <c r="A26" s="1"/>
      <c r="B26" s="88" t="s">
        <v>89</v>
      </c>
      <c r="C26" s="89"/>
      <c r="D26" s="89"/>
      <c r="E26" s="89"/>
      <c r="F26" s="89"/>
      <c r="G26" s="89"/>
      <c r="H26" s="90"/>
      <c r="I26" s="1"/>
    </row>
    <row r="27" spans="1:9" ht="29.25" customHeight="1" x14ac:dyDescent="0.25">
      <c r="A27" s="1"/>
      <c r="B27" s="68" t="s">
        <v>100</v>
      </c>
      <c r="C27" s="69"/>
      <c r="D27" s="69"/>
      <c r="E27" s="69"/>
      <c r="F27" s="70"/>
      <c r="G27" s="36">
        <v>0</v>
      </c>
      <c r="H27" s="10" t="s">
        <v>4</v>
      </c>
      <c r="I27" s="1"/>
    </row>
    <row r="28" spans="1:9" x14ac:dyDescent="0.25">
      <c r="A28" s="1"/>
      <c r="B28" s="74" t="s">
        <v>101</v>
      </c>
      <c r="C28" s="75"/>
      <c r="D28" s="75"/>
      <c r="E28" s="75"/>
      <c r="F28" s="76"/>
      <c r="G28" s="36">
        <v>0</v>
      </c>
      <c r="H28" s="10" t="s">
        <v>4</v>
      </c>
      <c r="I28" s="1"/>
    </row>
    <row r="29" spans="1:9" ht="30" customHeight="1" x14ac:dyDescent="0.25">
      <c r="A29" s="1"/>
      <c r="B29" s="88" t="s">
        <v>102</v>
      </c>
      <c r="C29" s="89"/>
      <c r="D29" s="89"/>
      <c r="E29" s="89"/>
      <c r="F29" s="90"/>
      <c r="G29" s="34">
        <f>G27-G28</f>
        <v>0</v>
      </c>
      <c r="H29" s="18" t="s">
        <v>4</v>
      </c>
      <c r="I29" s="1"/>
    </row>
    <row r="30" spans="1:9" x14ac:dyDescent="0.25">
      <c r="A30" s="1"/>
      <c r="B30" s="21"/>
      <c r="C30" s="21"/>
      <c r="D30" s="21"/>
      <c r="E30" s="21"/>
      <c r="F30" s="21"/>
      <c r="G30" s="21"/>
      <c r="H30" s="21"/>
      <c r="I30" s="1"/>
    </row>
    <row r="31" spans="1:9" x14ac:dyDescent="0.25">
      <c r="A31" s="1"/>
      <c r="B31" s="21"/>
      <c r="C31" s="21"/>
      <c r="D31" s="21"/>
      <c r="E31" s="21"/>
      <c r="F31" s="21"/>
      <c r="G31" s="21"/>
      <c r="H31" s="21"/>
      <c r="I31" s="1"/>
    </row>
    <row r="32" spans="1:9" x14ac:dyDescent="0.25">
      <c r="A32" s="1"/>
      <c r="B32" s="88" t="s">
        <v>90</v>
      </c>
      <c r="C32" s="89"/>
      <c r="D32" s="89"/>
      <c r="E32" s="89"/>
      <c r="F32" s="89"/>
      <c r="G32" s="89"/>
      <c r="H32" s="90"/>
      <c r="I32" s="1"/>
    </row>
    <row r="33" spans="1:9" x14ac:dyDescent="0.25">
      <c r="A33" s="1"/>
      <c r="B33" s="74" t="s">
        <v>91</v>
      </c>
      <c r="C33" s="75"/>
      <c r="D33" s="75"/>
      <c r="E33" s="75"/>
      <c r="F33" s="76"/>
      <c r="G33" s="36">
        <v>6667</v>
      </c>
      <c r="H33" s="10" t="s">
        <v>4</v>
      </c>
      <c r="I33" s="1"/>
    </row>
    <row r="34" spans="1:9" x14ac:dyDescent="0.25">
      <c r="A34" s="1"/>
      <c r="B34" s="74" t="s">
        <v>92</v>
      </c>
      <c r="C34" s="75"/>
      <c r="D34" s="75"/>
      <c r="E34" s="75"/>
      <c r="F34" s="76"/>
      <c r="G34" s="36">
        <v>6667</v>
      </c>
      <c r="H34" s="10" t="s">
        <v>4</v>
      </c>
      <c r="I34" s="1"/>
    </row>
    <row r="35" spans="1:9" x14ac:dyDescent="0.25">
      <c r="A35" s="1"/>
      <c r="B35" s="74" t="s">
        <v>93</v>
      </c>
      <c r="C35" s="75"/>
      <c r="D35" s="75"/>
      <c r="E35" s="75"/>
      <c r="F35" s="76"/>
      <c r="G35" s="20">
        <f>'Fane 6. Gen. inv. i 2015'!F12</f>
        <v>6307.7866666666669</v>
      </c>
      <c r="H35" s="10" t="s">
        <v>4</v>
      </c>
      <c r="I35" s="1"/>
    </row>
    <row r="36" spans="1:9" x14ac:dyDescent="0.25">
      <c r="A36" s="1"/>
      <c r="B36" s="81" t="s">
        <v>90</v>
      </c>
      <c r="C36" s="82"/>
      <c r="D36" s="82"/>
      <c r="E36" s="82"/>
      <c r="F36" s="83"/>
      <c r="G36" s="34">
        <f>G35-G33+G35-G34</f>
        <v>-718.42666666666628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22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3:F23"/>
    <mergeCell ref="B32:H32"/>
    <mergeCell ref="B33:F33"/>
    <mergeCell ref="B27:F27"/>
    <mergeCell ref="B28:F28"/>
    <mergeCell ref="B34:F34"/>
    <mergeCell ref="B35:F35"/>
    <mergeCell ref="B36:F36"/>
    <mergeCell ref="B26:H26"/>
    <mergeCell ref="B29:F2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1" t="s">
        <v>123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50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52</v>
      </c>
      <c r="C9" s="79"/>
      <c r="D9" s="79"/>
      <c r="E9" s="79"/>
      <c r="F9" s="80"/>
      <c r="G9" s="37">
        <v>10306150</v>
      </c>
      <c r="H9" s="16" t="s">
        <v>4</v>
      </c>
      <c r="I9" s="1"/>
    </row>
    <row r="10" spans="1:9" x14ac:dyDescent="0.25">
      <c r="A10" s="1"/>
      <c r="B10" s="81" t="s">
        <v>53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54</v>
      </c>
      <c r="C11" s="75"/>
      <c r="D11" s="76"/>
      <c r="E11" s="36">
        <v>3544948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55</v>
      </c>
      <c r="C12" s="75"/>
      <c r="D12" s="76"/>
      <c r="E12" s="36">
        <v>380518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56</v>
      </c>
      <c r="C13" s="75"/>
      <c r="D13" s="76"/>
      <c r="E13" s="36">
        <v>-72854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57</v>
      </c>
      <c r="C14" s="75"/>
      <c r="D14" s="76"/>
      <c r="E14" s="36">
        <v>13333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58</v>
      </c>
      <c r="C15" s="79"/>
      <c r="D15" s="80"/>
      <c r="E15" s="33">
        <f>SUM(E11:E14)</f>
        <v>3865945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59</v>
      </c>
      <c r="C16" s="75"/>
      <c r="D16" s="76"/>
      <c r="E16" s="36">
        <v>296647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60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61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62</v>
      </c>
      <c r="C19" s="79"/>
      <c r="D19" s="80"/>
      <c r="E19" s="33">
        <f>SUM(E16:E18)</f>
        <v>296647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63</v>
      </c>
      <c r="C20" s="69"/>
      <c r="D20" s="70"/>
      <c r="E20" s="36">
        <v>-2981958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64</v>
      </c>
      <c r="C21" s="69"/>
      <c r="D21" s="70"/>
      <c r="E21" s="36">
        <v>-217959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65</v>
      </c>
      <c r="C22" s="75"/>
      <c r="D22" s="76"/>
      <c r="E22" s="36">
        <v>-173162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66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67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68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69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70</v>
      </c>
      <c r="C27" s="79"/>
      <c r="D27" s="80"/>
      <c r="E27" s="33">
        <f>SUM(E20:E26)</f>
        <v>-3373079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71</v>
      </c>
      <c r="C28" s="79"/>
      <c r="D28" s="80"/>
      <c r="E28" s="33">
        <f>E15+E19+E27</f>
        <v>789513</v>
      </c>
      <c r="F28" s="16" t="s">
        <v>4</v>
      </c>
      <c r="G28" s="31">
        <f>IF(E28&lt;0,0,-E28)</f>
        <v>-789513</v>
      </c>
      <c r="H28" s="16" t="s">
        <v>4</v>
      </c>
      <c r="I28" s="1"/>
    </row>
    <row r="29" spans="1:9" x14ac:dyDescent="0.25">
      <c r="A29" s="1"/>
      <c r="B29" s="81" t="s">
        <v>72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72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117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118</v>
      </c>
      <c r="C32" s="69"/>
      <c r="D32" s="70"/>
      <c r="E32" s="36">
        <v>8354245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73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74</v>
      </c>
      <c r="C34" s="69"/>
      <c r="D34" s="70"/>
      <c r="E34" s="36">
        <v>11539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75</v>
      </c>
      <c r="C35" s="79"/>
      <c r="D35" s="80"/>
      <c r="E35" s="33">
        <f>SUM(E32:E34)</f>
        <v>8365784</v>
      </c>
      <c r="F35" s="16" t="s">
        <v>4</v>
      </c>
      <c r="G35" s="33">
        <f>-E35</f>
        <v>-8365784</v>
      </c>
      <c r="H35" s="16" t="s">
        <v>4</v>
      </c>
      <c r="I35" s="1"/>
    </row>
    <row r="36" spans="1:9" x14ac:dyDescent="0.25">
      <c r="A36" s="1"/>
      <c r="B36" s="81" t="s">
        <v>51</v>
      </c>
      <c r="C36" s="82"/>
      <c r="D36" s="82"/>
      <c r="E36" s="82"/>
      <c r="F36" s="83"/>
      <c r="G36" s="34">
        <f>$G$9+$G$28+$G$30+$G$35</f>
        <v>1150853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topLeftCell="A4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124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112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9581764.7444466315</v>
      </c>
      <c r="F9" s="7" t="s">
        <v>4</v>
      </c>
      <c r="G9" s="8"/>
      <c r="H9" s="9"/>
      <c r="I9" s="1"/>
    </row>
    <row r="10" spans="1:9" x14ac:dyDescent="0.25">
      <c r="A10" s="1"/>
      <c r="B10" s="77" t="s">
        <v>103</v>
      </c>
      <c r="C10" s="75"/>
      <c r="D10" s="76"/>
      <c r="E10" s="20">
        <f>'Fane 3. Grundlag'!G11</f>
        <v>715255.70662519988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150730.65364296432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44</v>
      </c>
      <c r="C12" s="79"/>
      <c r="D12" s="80"/>
      <c r="E12" s="33">
        <f>$E$9-$E$11</f>
        <v>9431034.0908036679</v>
      </c>
      <c r="F12" s="17" t="s">
        <v>4</v>
      </c>
      <c r="G12" s="33">
        <f>E12</f>
        <v>9431034.0908036679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111</v>
      </c>
      <c r="C14" s="72"/>
      <c r="D14" s="73"/>
      <c r="E14" s="33">
        <f>'Fane 5. Hist. over el. underdæk'!G13</f>
        <v>0</v>
      </c>
      <c r="F14" s="17" t="s">
        <v>4</v>
      </c>
      <c r="G14" s="33">
        <f>E14</f>
        <v>0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-103550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-12453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104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30" customHeight="1" x14ac:dyDescent="0.25">
      <c r="A19" s="1"/>
      <c r="B19" s="68" t="s">
        <v>37</v>
      </c>
      <c r="C19" s="69"/>
      <c r="D19" s="70"/>
      <c r="E19" s="20">
        <f>'Fane 7. Korrektion af PL2015'!G29</f>
        <v>0</v>
      </c>
      <c r="F19" s="7" t="s">
        <v>4</v>
      </c>
      <c r="G19" s="13"/>
      <c r="H19" s="12"/>
      <c r="I19" s="1"/>
    </row>
    <row r="20" spans="1:9" ht="28.5" customHeight="1" x14ac:dyDescent="0.25">
      <c r="A20" s="1"/>
      <c r="B20" s="68" t="s">
        <v>38</v>
      </c>
      <c r="C20" s="69"/>
      <c r="D20" s="70"/>
      <c r="E20" s="20">
        <f>'Fane 7. Korrektion af PL2015'!G36</f>
        <v>-718.42666666666628</v>
      </c>
      <c r="F20" s="7" t="s">
        <v>4</v>
      </c>
      <c r="G20" s="14"/>
      <c r="H20" s="15"/>
      <c r="I20" s="1"/>
    </row>
    <row r="21" spans="1:9" x14ac:dyDescent="0.25">
      <c r="A21" s="1"/>
      <c r="B21" s="71" t="s">
        <v>39</v>
      </c>
      <c r="C21" s="72"/>
      <c r="D21" s="73"/>
      <c r="E21" s="33">
        <f>SUM(E16:E20)</f>
        <v>-116721.42666666667</v>
      </c>
      <c r="F21" s="17" t="s">
        <v>4</v>
      </c>
      <c r="G21" s="33">
        <f>E21</f>
        <v>-116721.42666666667</v>
      </c>
      <c r="H21" s="17" t="s">
        <v>4</v>
      </c>
      <c r="I21" s="1"/>
    </row>
    <row r="22" spans="1:9" x14ac:dyDescent="0.25">
      <c r="A22" s="1"/>
      <c r="B22" s="81" t="s">
        <v>33</v>
      </c>
      <c r="C22" s="82"/>
      <c r="D22" s="82"/>
      <c r="E22" s="82"/>
      <c r="F22" s="82"/>
      <c r="G22" s="82"/>
      <c r="H22" s="83"/>
      <c r="I22" s="1"/>
    </row>
    <row r="23" spans="1:9" x14ac:dyDescent="0.25">
      <c r="A23" s="1"/>
      <c r="B23" s="71" t="s">
        <v>34</v>
      </c>
      <c r="C23" s="72"/>
      <c r="D23" s="73"/>
      <c r="E23" s="33">
        <f>'Fane 8. Kontrol af PL2015'!G36</f>
        <v>1150853</v>
      </c>
      <c r="F23" s="17" t="s">
        <v>4</v>
      </c>
      <c r="G23" s="33">
        <f>E23</f>
        <v>1150853</v>
      </c>
      <c r="H23" s="17" t="s">
        <v>4</v>
      </c>
      <c r="I23" s="1"/>
    </row>
    <row r="24" spans="1:9" x14ac:dyDescent="0.25">
      <c r="A24" s="1"/>
      <c r="B24" s="81" t="s">
        <v>40</v>
      </c>
      <c r="C24" s="82"/>
      <c r="D24" s="82"/>
      <c r="E24" s="82"/>
      <c r="F24" s="83"/>
      <c r="G24" s="34">
        <f>G12+G14+G21+G23</f>
        <v>10465165.664137002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18:D18"/>
    <mergeCell ref="B24:F24"/>
    <mergeCell ref="B3:H4"/>
    <mergeCell ref="B9:D9"/>
    <mergeCell ref="B23:D23"/>
    <mergeCell ref="B11:D11"/>
    <mergeCell ref="B10:D10"/>
    <mergeCell ref="B12:D12"/>
    <mergeCell ref="B14:D14"/>
    <mergeCell ref="B17:D17"/>
    <mergeCell ref="B19:D19"/>
    <mergeCell ref="B20:D20"/>
    <mergeCell ref="B22:H22"/>
    <mergeCell ref="B15:H15"/>
    <mergeCell ref="B13:H13"/>
    <mergeCell ref="B8:H8"/>
    <mergeCell ref="B16:D16"/>
    <mergeCell ref="B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112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41</v>
      </c>
      <c r="C9" s="69"/>
      <c r="D9" s="70"/>
      <c r="E9" s="35">
        <f>'Fane 2.1. Økonomisk ramme 2017'!$E$9-'Fane 2.1. Økonomisk ramme 2017'!$E$11</f>
        <v>9431034.0908036679</v>
      </c>
      <c r="F9" s="7" t="s">
        <v>4</v>
      </c>
      <c r="G9" s="8"/>
      <c r="H9" s="9"/>
      <c r="I9" s="1"/>
    </row>
    <row r="10" spans="1:9" x14ac:dyDescent="0.25">
      <c r="A10" s="1"/>
      <c r="B10" s="77" t="s">
        <v>103</v>
      </c>
      <c r="C10" s="75"/>
      <c r="D10" s="76"/>
      <c r="E10" s="36">
        <f>'Fane 2.1. Økonomisk ramme 2017'!$E$10</f>
        <v>715255.70662519988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42</v>
      </c>
      <c r="C11" s="75"/>
      <c r="D11" s="76"/>
      <c r="E11" s="36">
        <f>$E$9*0.0127</f>
        <v>119774.13295320657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150049.96908417807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44</v>
      </c>
      <c r="C13" s="79"/>
      <c r="D13" s="80"/>
      <c r="E13" s="33">
        <f>$E$9+$E$11-$E$12</f>
        <v>9400758.2546726968</v>
      </c>
      <c r="F13" s="17" t="s">
        <v>4</v>
      </c>
      <c r="G13" s="33">
        <f>E13</f>
        <v>9400758.2546726968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111</v>
      </c>
      <c r="C15" s="72"/>
      <c r="D15" s="73"/>
      <c r="E15" s="37">
        <f>IF('Fane 5. Hist. over el. underdæk'!$G$12&gt;1,'Fane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81" t="s">
        <v>43</v>
      </c>
      <c r="C16" s="82"/>
      <c r="D16" s="82"/>
      <c r="E16" s="82"/>
      <c r="F16" s="83"/>
      <c r="G16" s="34">
        <f>G13+G15</f>
        <v>9400758.2546726968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112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45</v>
      </c>
      <c r="C9" s="69"/>
      <c r="D9" s="70"/>
      <c r="E9" s="35">
        <f>'Fane 2.2. Økonomisk ramme 2018'!$E$9*1.0127-'Fane 2.2. Økonomisk ramme 2018'!$E$12</f>
        <v>9400758.2546726968</v>
      </c>
      <c r="F9" s="7" t="s">
        <v>4</v>
      </c>
      <c r="G9" s="8"/>
      <c r="H9" s="9"/>
      <c r="I9" s="1"/>
    </row>
    <row r="10" spans="1:9" x14ac:dyDescent="0.25">
      <c r="A10" s="1"/>
      <c r="B10" s="77" t="s">
        <v>103</v>
      </c>
      <c r="C10" s="75"/>
      <c r="D10" s="76"/>
      <c r="E10" s="36">
        <f>'Fane 2.2. Økonomisk ramme 2018'!$E$10*1.0127</f>
        <v>724339.4540993399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42</v>
      </c>
      <c r="C11" s="75"/>
      <c r="D11" s="76"/>
      <c r="E11" s="36">
        <f>$E$9*0.0127</f>
        <v>119389.62983434324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149372.35842879085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44</v>
      </c>
      <c r="C13" s="79"/>
      <c r="D13" s="80"/>
      <c r="E13" s="33">
        <f>$E$9+$E$11-$E$12</f>
        <v>9370775.5260782484</v>
      </c>
      <c r="F13" s="17" t="s">
        <v>4</v>
      </c>
      <c r="G13" s="33">
        <f>E13</f>
        <v>9370775.5260782484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111</v>
      </c>
      <c r="C15" s="72"/>
      <c r="D15" s="73"/>
      <c r="E15" s="37">
        <f>IF('Fane 5. Hist. over el. underdæk'!$G$12&gt;2,'Fane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81" t="s">
        <v>46</v>
      </c>
      <c r="C16" s="82"/>
      <c r="D16" s="82"/>
      <c r="E16" s="82"/>
      <c r="F16" s="83"/>
      <c r="G16" s="34">
        <f>G13+G15</f>
        <v>9370775.5260782484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112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47</v>
      </c>
      <c r="C9" s="69"/>
      <c r="D9" s="70"/>
      <c r="E9" s="35">
        <f>'Fane 2.3. Økonomisk ramme 2019'!$E$9*1.0127-'Fane 2.3. Økonomisk ramme 2019'!$E$12</f>
        <v>9370775.5260782484</v>
      </c>
      <c r="F9" s="7" t="s">
        <v>4</v>
      </c>
      <c r="G9" s="8"/>
      <c r="H9" s="9"/>
      <c r="I9" s="1"/>
    </row>
    <row r="10" spans="1:9" x14ac:dyDescent="0.25">
      <c r="A10" s="1"/>
      <c r="B10" s="77" t="s">
        <v>103</v>
      </c>
      <c r="C10" s="75"/>
      <c r="D10" s="76"/>
      <c r="E10" s="36">
        <f>'Fane 2.3. Økonomisk ramme 2019'!$E$10*1.0127</f>
        <v>733538.56516640144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42</v>
      </c>
      <c r="C11" s="75"/>
      <c r="D11" s="76"/>
      <c r="E11" s="36">
        <f>$E$9*0.0127</f>
        <v>119008.84918119376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148697.80779536226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44</v>
      </c>
      <c r="C13" s="79"/>
      <c r="D13" s="80"/>
      <c r="E13" s="33">
        <f>$E$9+$E$11-$E$12</f>
        <v>9341086.5674640797</v>
      </c>
      <c r="F13" s="17" t="s">
        <v>4</v>
      </c>
      <c r="G13" s="33">
        <f>E13</f>
        <v>9341086.5674640797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111</v>
      </c>
      <c r="C15" s="72"/>
      <c r="D15" s="73"/>
      <c r="E15" s="37">
        <f>IF('Fane 5. Hist. over el. underdæk'!$G$12&gt;3,'Fane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81" t="s">
        <v>48</v>
      </c>
      <c r="C16" s="82"/>
      <c r="D16" s="82"/>
      <c r="E16" s="82"/>
      <c r="F16" s="83"/>
      <c r="G16" s="34">
        <f>G13+G15</f>
        <v>9341086.5674640797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105</v>
      </c>
      <c r="C9" s="75"/>
      <c r="D9" s="75"/>
      <c r="E9" s="75"/>
      <c r="F9" s="76"/>
      <c r="G9" s="36">
        <v>1809877.1322086165</v>
      </c>
      <c r="H9" s="10" t="s">
        <v>4</v>
      </c>
      <c r="I9" s="1"/>
    </row>
    <row r="10" spans="1:9" x14ac:dyDescent="0.25">
      <c r="A10" s="1"/>
      <c r="B10" s="74" t="s">
        <v>106</v>
      </c>
      <c r="C10" s="75"/>
      <c r="D10" s="75"/>
      <c r="E10" s="75"/>
      <c r="F10" s="76"/>
      <c r="G10" s="36">
        <v>7056631.9056128133</v>
      </c>
      <c r="H10" s="10" t="s">
        <v>4</v>
      </c>
      <c r="I10" s="1"/>
    </row>
    <row r="11" spans="1:9" x14ac:dyDescent="0.25">
      <c r="A11" s="1"/>
      <c r="B11" s="74" t="s">
        <v>107</v>
      </c>
      <c r="C11" s="75"/>
      <c r="D11" s="75"/>
      <c r="E11" s="75"/>
      <c r="F11" s="76"/>
      <c r="G11" s="36">
        <v>715255.70662519988</v>
      </c>
      <c r="H11" s="10" t="s">
        <v>4</v>
      </c>
      <c r="I11" s="1"/>
    </row>
    <row r="12" spans="1:9" x14ac:dyDescent="0.25">
      <c r="A12" s="1"/>
      <c r="B12" s="81" t="s">
        <v>49</v>
      </c>
      <c r="C12" s="82"/>
      <c r="D12" s="82"/>
      <c r="E12" s="82"/>
      <c r="F12" s="83"/>
      <c r="G12" s="34">
        <f>SUM(G9:G11)</f>
        <v>9581764.7444466315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108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113</v>
      </c>
      <c r="C9" s="75"/>
      <c r="D9" s="75"/>
      <c r="E9" s="75"/>
      <c r="F9" s="76"/>
      <c r="G9" s="20">
        <f>'Fane 3. Grundlag'!G12-'Fane 3. Grundlag'!G11</f>
        <v>8866509.0378214307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76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150730.65364296432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110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78</v>
      </c>
      <c r="C9" s="75"/>
      <c r="D9" s="75"/>
      <c r="E9" s="75"/>
      <c r="F9" s="76"/>
      <c r="G9" s="36">
        <v>-78295</v>
      </c>
      <c r="H9" s="10" t="s">
        <v>4</v>
      </c>
      <c r="I9" s="1"/>
    </row>
    <row r="10" spans="1:9" x14ac:dyDescent="0.25">
      <c r="A10" s="1"/>
      <c r="B10" s="74" t="s">
        <v>79</v>
      </c>
      <c r="C10" s="75"/>
      <c r="D10" s="75"/>
      <c r="E10" s="75"/>
      <c r="F10" s="76"/>
      <c r="G10" s="36">
        <v>-78295</v>
      </c>
      <c r="H10" s="10" t="s">
        <v>4</v>
      </c>
      <c r="I10" s="1"/>
    </row>
    <row r="11" spans="1:9" x14ac:dyDescent="0.25">
      <c r="A11" s="1"/>
      <c r="B11" s="84" t="s">
        <v>94</v>
      </c>
      <c r="C11" s="85"/>
      <c r="D11" s="85"/>
      <c r="E11" s="85"/>
      <c r="F11" s="86"/>
      <c r="G11" s="38">
        <v>0</v>
      </c>
      <c r="H11" s="23" t="s">
        <v>4</v>
      </c>
      <c r="I11" s="1"/>
    </row>
    <row r="12" spans="1:9" x14ac:dyDescent="0.25">
      <c r="A12" s="1"/>
      <c r="B12" s="74" t="s">
        <v>80</v>
      </c>
      <c r="C12" s="75"/>
      <c r="D12" s="75"/>
      <c r="E12" s="75"/>
      <c r="F12" s="76"/>
      <c r="G12" s="36">
        <v>0</v>
      </c>
      <c r="H12" s="10" t="s">
        <v>4</v>
      </c>
      <c r="I12" s="1"/>
    </row>
    <row r="13" spans="1:9" x14ac:dyDescent="0.25">
      <c r="A13" s="1"/>
      <c r="B13" s="81" t="s">
        <v>77</v>
      </c>
      <c r="C13" s="82"/>
      <c r="D13" s="82"/>
      <c r="E13" s="82"/>
      <c r="F13" s="83"/>
      <c r="G13" s="34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4"/>
  <sheetViews>
    <sheetView view="pageLayout" zoomScaleNormal="100" workbookViewId="0"/>
  </sheetViews>
  <sheetFormatPr defaultRowHeight="15" x14ac:dyDescent="0.25"/>
  <cols>
    <col min="1" max="1" width="5.140625" customWidth="1"/>
    <col min="2" max="2" width="37.570312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121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1" t="s">
        <v>0</v>
      </c>
      <c r="C9" s="17" t="s">
        <v>1</v>
      </c>
      <c r="D9" s="24" t="s">
        <v>2</v>
      </c>
      <c r="E9" s="24" t="s">
        <v>81</v>
      </c>
      <c r="F9" s="87" t="s">
        <v>3</v>
      </c>
      <c r="G9" s="87"/>
      <c r="H9" s="1"/>
    </row>
    <row r="10" spans="1:8" x14ac:dyDescent="0.25">
      <c r="A10" s="1"/>
      <c r="B10" s="40" t="s">
        <v>115</v>
      </c>
      <c r="C10" s="39">
        <v>2015</v>
      </c>
      <c r="D10" s="39">
        <v>75</v>
      </c>
      <c r="E10" s="36">
        <v>178709</v>
      </c>
      <c r="F10" s="20">
        <f>E10/D10</f>
        <v>2382.7866666666669</v>
      </c>
      <c r="G10" s="10" t="s">
        <v>4</v>
      </c>
      <c r="H10" s="1"/>
    </row>
    <row r="11" spans="1:8" x14ac:dyDescent="0.25">
      <c r="A11" s="1"/>
      <c r="B11" s="40" t="s">
        <v>116</v>
      </c>
      <c r="C11" s="39">
        <v>2015</v>
      </c>
      <c r="D11" s="39">
        <v>10</v>
      </c>
      <c r="E11" s="36">
        <v>39250</v>
      </c>
      <c r="F11" s="20">
        <f t="shared" ref="F11" si="0">E11/D11</f>
        <v>3925</v>
      </c>
      <c r="G11" s="10" t="s">
        <v>4</v>
      </c>
      <c r="H11" s="1"/>
    </row>
    <row r="12" spans="1:8" x14ac:dyDescent="0.25">
      <c r="A12" s="1"/>
      <c r="B12" s="81" t="s">
        <v>5</v>
      </c>
      <c r="C12" s="82"/>
      <c r="D12" s="82"/>
      <c r="E12" s="83"/>
      <c r="F12" s="34">
        <f>SUM(F10:F11)</f>
        <v>6307.7866666666669</v>
      </c>
      <c r="G12" s="18" t="s">
        <v>4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</sheetData>
  <sheetProtection password="C6BD" sheet="1" objects="1" scenarios="1"/>
  <mergeCells count="4">
    <mergeCell ref="B12:E1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2016-12-13T12:50:12Z</dcterms:modified>
</cp:coreProperties>
</file>