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85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C11" i="4" l="1"/>
  <c r="F9" i="2" l="1"/>
  <c r="F10" i="2"/>
  <c r="F11" i="2"/>
  <c r="F12" i="2"/>
  <c r="F13" i="2"/>
  <c r="F14" i="2"/>
  <c r="F15" i="2"/>
  <c r="C25" i="8" l="1"/>
  <c r="E31" i="19" l="1"/>
  <c r="C36" i="19" l="1"/>
  <c r="E36" i="19" s="1"/>
  <c r="F2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1" i="7" s="1"/>
  <c r="F16" i="2" l="1"/>
  <c r="C9" i="10" s="1"/>
  <c r="C15" i="11" l="1"/>
  <c r="C28" i="8" s="1"/>
  <c r="C17" i="4"/>
  <c r="C26" i="8" s="1"/>
  <c r="C28" i="3"/>
  <c r="C24" i="8" s="1"/>
  <c r="F23" i="7"/>
  <c r="C18" i="8" s="1"/>
  <c r="C22" i="3"/>
  <c r="C23" i="8" s="1"/>
  <c r="C11" i="3"/>
  <c r="C21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<sst xmlns="http://schemas.openxmlformats.org/spreadsheetml/2006/main" count="411" uniqueCount="212">
  <si>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</si>
  <si>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</si>
  <si>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</si>
  <si>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</si>
  <si>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</si>
  <si>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</si>
  <si>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</si>
  <si>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</si>
  <si>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</si>
  <si>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</si>
  <si>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</si>
  <si>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</si>
  <si>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</si>
  <si>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</si>
  <si>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</si>
  <si>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</si>
  <si>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</si>
  <si>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</si>
  <si>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</si>
  <si>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</si>
  <si>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</si>
  <si>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</si>
  <si>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</si>
  <si>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</si>
  <si>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</si>
  <si>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</si>
  <si>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</si>
  <si>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</si>
  <si>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</si>
  <si>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</si>
  <si>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</si>
  <si>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</si>
  <si>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</si>
  <si>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</si>
  <si>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</si>
  <si>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</si>
  <si>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</si>
  <si>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</si>
  <si>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</si>
  <si>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</si>
  <si>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</si>
  <si>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</si>
  <si>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</si>
  <si>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</si>
  <si>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</si>
  <si>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</si>
  <si>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</si>
  <si>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</si>
  <si>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</si>
  <si>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</si>
  <si>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</si>
  <si>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</si>
  <si>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</si>
  <si>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</si>
  <si>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</si>
  <si>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</si>
  <si>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</si>
  <si>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</si>
  <si>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</si>
  <si>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</si>
  <si>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</si>
  <si>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</si>
  <si>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</si>
  <si>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</si>
  <si>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</si>
  <si>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</si>
  <si>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</si>
  <si>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</si>
  <si>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</si>
  <si>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</si>
  <si>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</si>
  <si>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</si>
  <si>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</si>
  <si>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</si>
  <si>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</si>
  <si>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</si>
  <si>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</si>
  <si>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</si>
  <si>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</si>
  <si>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</si>
  <si>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</si>
  <si>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</si>
  <si>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</si>
  <si>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</si>
  <si>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</si>
  <si>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</si>
  <si>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</si>
  <si>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</si>
  <si>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</si>
  <si>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</si>
  <si>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</si>
  <si>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</si>
  <si>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</si>
  <si>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</si>
  <si>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</si>
  <si>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</si>
  <si>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</si>
  <si>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</si>
  <si>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</si>
  <si>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</si>
  <si>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</si>
  <si>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</si>
  <si>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</si>
  <si>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</si>
  <si>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</si>
  <si>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</si>
  <si>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</si>
  <si>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</si>
  <si>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</si>
  <si>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</si>
  <si>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</si>
  <si>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</si>
  <si>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</si>
  <si>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</si>
  <si>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</si>
  <si>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</si>
  <si>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</si>
  <si>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</si>
  <si>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</si>
  <si>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</si>
  <si>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</si>
  <si>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</si>
  <si>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</si>
  <si>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</si>
  <si>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</si>
  <si>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</si>
  <si>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</si>
  <si>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</si>
  <si>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</si>
  <si>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</si>
  <si>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</si>
  <si>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</si>
  <si>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</si>
  <si>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</si>
  <si>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</si>
  <si>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</si>
  <si>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</si>
  <si>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</si>
  <si>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</si>
  <si>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</si>
  <si>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</si>
  <si>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</si>
  <si>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</si>
  <si>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</si>
  <si>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</si>
  <si>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</si>
  <si>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</si>
  <si>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</si>
  <si>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</si>
  <si>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</si>
  <si>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</si>
  <si>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</si>
  <si>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</si>
  <si>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</si>
  <si>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</si>
  <si>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</si>
  <si>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</si>
  <si>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</si>
  <si>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</si>
  <si>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</si>
  <si>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</si>
  <si>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</si>
  <si>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</si>
  <si>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</si>
  <si>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</si>
  <si>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</si>
  <si>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</si>
  <si>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</si>
  <si>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</si>
  <si>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</si>
  <si>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</si>
  <si>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</si>
  <si>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</si>
  <si>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</si>
  <si>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</si>
  <si>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</si>
  <si>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</si>
  <si>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</si>
  <si>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</si>
  <si>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</si>
  <si>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</si>
  <si>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2014</t>
  </si>
  <si>
    <t>75</t>
  </si>
  <si>
    <t>Ø 50mm &lt; Ledningsnet ≤ Ø110 mm</t>
  </si>
  <si>
    <t>Ø110 mm &lt; Ledningsnet ≤ Ø 250 mm</t>
  </si>
  <si>
    <t>Etageareal vandbehandlingsbygning</t>
  </si>
  <si>
    <t>SRO-anlæg, vandværk</t>
  </si>
  <si>
    <t>10</t>
  </si>
  <si>
    <t>25</t>
  </si>
  <si>
    <t>Filteranlæg, åbne filtre, enkelt filtrering, Mek./EL</t>
  </si>
  <si>
    <t>Inspektionsbrønd, Mek./EL</t>
  </si>
  <si>
    <t>15</t>
  </si>
  <si>
    <t>Solcelleanlæg</t>
  </si>
  <si>
    <t>Fjernaflæsning af målere</t>
  </si>
  <si>
    <t>Lækagesøgning (Vandbesparende tiltag)</t>
  </si>
  <si>
    <t>Dokumenteret Drikkevandssikkerhed</t>
  </si>
  <si>
    <t>Ledelsessystem</t>
  </si>
  <si>
    <t>Afregningsmålere, elektroniske ≤ Ø 110mm (Qn 10)</t>
  </si>
  <si>
    <t>Skelbrønd, Konstruktioner</t>
  </si>
  <si>
    <t>Boring (inkl. etablering, forerør, filter og prøvepumpning)</t>
  </si>
  <si>
    <t>Skyllevand-/slamhåndteringsanl. - åbne med faste sider/bund</t>
  </si>
  <si>
    <t>Skelbrønd, Mek./EL</t>
  </si>
  <si>
    <t xml:space="preserve">Afregningsmålere, mekaniske </t>
  </si>
  <si>
    <t>SRO anlæg</t>
  </si>
  <si>
    <t>Tjenestemandspensioner</t>
  </si>
  <si>
    <t>Ejendomsskatter</t>
  </si>
  <si>
    <t>Selskabsskatter</t>
  </si>
  <si>
    <t>Tillæg for afgift for ledningsført vand i 2016</t>
  </si>
  <si>
    <t>Afgift for ledningsført vand</t>
  </si>
  <si>
    <t>Roskilde Vand AS</t>
  </si>
  <si>
    <t>V155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</si>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</sst>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Roskilde Vand AS</v>
      </c>
      <c r="B1" s="56"/>
      <c r="C1" s="56"/>
      <c r="D1" s="56"/>
      <c r="E1" s="56"/>
    </row>
    <row r="2" spans="1:5" x14ac:dyDescent="0.25">
      <c r="A2" s="220" t="str">
        <f>'1. Forside'!A2</f>
        <v>V155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193</v>
      </c>
      <c r="C7" s="51">
        <v>300000</v>
      </c>
      <c r="D7" s="190" t="s">
        <v>0</v>
      </c>
      <c r="E7" s="56"/>
    </row>
    <row r="8" spans="1:5" x14ac:dyDescent="0.25">
      <c r="A8" s="56"/>
      <c r="B8" s="212" t="s">
        <v>194</v>
      </c>
      <c r="C8" s="51">
        <v>330000</v>
      </c>
      <c r="D8" s="190" t="s">
        <v>0</v>
      </c>
      <c r="E8" s="56"/>
    </row>
    <row r="9" spans="1:5" x14ac:dyDescent="0.25">
      <c r="A9" s="56"/>
      <c r="B9" s="212" t="s">
        <v>195</v>
      </c>
      <c r="C9" s="51">
        <v>150000</v>
      </c>
      <c r="D9" s="190" t="s">
        <v>0</v>
      </c>
      <c r="E9" s="56"/>
    </row>
    <row r="10" spans="1:5" x14ac:dyDescent="0.25">
      <c r="A10" s="56"/>
      <c r="B10" s="212" t="s">
        <v>196</v>
      </c>
      <c r="C10" s="51">
        <v>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780000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775747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1000000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-224253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Roskilde Vand AS</v>
      </c>
      <c r="B1" s="26"/>
      <c r="C1" s="26"/>
      <c r="D1" s="26"/>
      <c r="E1" s="26"/>
    </row>
    <row r="2" spans="1:5" x14ac:dyDescent="0.25">
      <c r="A2" s="221" t="str">
        <f>'1. Forside'!A2</f>
        <v>V155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960000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1105443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1276000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-170557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Roskilde Vand AS</v>
      </c>
      <c r="B1" s="26"/>
      <c r="C1" s="26"/>
      <c r="D1" s="26"/>
      <c r="E1" s="26"/>
    </row>
    <row r="2" spans="1:5" x14ac:dyDescent="0.25">
      <c r="A2" s="221" t="str">
        <f>'1. Forside'!A2</f>
        <v>V155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11945402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5881512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6063890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1212778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Roskilde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75862643.879705235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29522566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1039589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-438837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1653428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31776746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4236396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4236396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-4936304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-12719937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-8636963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-26293204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9719938</v>
      </c>
      <c r="D27" s="79" t="s">
        <v>0</v>
      </c>
      <c r="E27" s="10">
        <f>IF(C27&lt;0,0,-C27)</f>
        <v>-9719938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59394577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59394577</v>
      </c>
      <c r="D36" s="79" t="s">
        <v>0</v>
      </c>
      <c r="E36" s="10">
        <f>-C36</f>
        <v>-59394577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6748128.8797052354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Roskilde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3553998</v>
      </c>
      <c r="D7" s="222" t="s">
        <v>0</v>
      </c>
      <c r="E7" s="223">
        <v>3561909</v>
      </c>
      <c r="F7" s="222" t="s">
        <v>0</v>
      </c>
      <c r="G7" s="223">
        <v>5059416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650000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-2903998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3553998</v>
      </c>
      <c r="D11" s="226" t="s">
        <v>0</v>
      </c>
      <c r="E11" s="55">
        <f>C11+E7-E8-E9</f>
        <v>6465907</v>
      </c>
      <c r="F11" s="226" t="s">
        <v>0</v>
      </c>
      <c r="G11" s="55">
        <f>E11+G7-G8-G9</f>
        <v>11525323</v>
      </c>
      <c r="H11" s="226" t="s">
        <v>0</v>
      </c>
      <c r="I11" s="55">
        <f>G11+I7-I8-I9</f>
        <v>11525323</v>
      </c>
      <c r="J11" s="226" t="s">
        <v>0</v>
      </c>
      <c r="K11" s="55">
        <f>K7-K8-K9+K10+I11</f>
        <v>8621325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Roskilde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19535389.233338296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-74234.479086685533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-491315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18969839.75425161</v>
      </c>
      <c r="D13" s="79" t="s">
        <v>0</v>
      </c>
      <c r="E13" s="6">
        <f>C13</f>
        <v>18969839.75425161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29269795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211</v>
      </c>
      <c r="C16" s="14">
        <f>'6. Gennemførte investeringer'!F18</f>
        <v>1789982.2133333334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-1064340.7733333334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investeringer'!F23</f>
        <v>1921513.4316666666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31916949.87166667</v>
      </c>
      <c r="D19" s="79" t="s">
        <v>0</v>
      </c>
      <c r="E19" s="8">
        <f>C19</f>
        <v>31916949.87166667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3233105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19786000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144500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14072473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780000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-224253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-170557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38581268</v>
      </c>
      <c r="D29" s="79" t="s">
        <v>0</v>
      </c>
      <c r="E29" s="6">
        <f>C29</f>
        <v>38581268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1212778</v>
      </c>
      <c r="D31" s="79" t="s">
        <v>0</v>
      </c>
      <c r="E31" s="10">
        <f>C31</f>
        <v>1212778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6748128.8797052354</v>
      </c>
      <c r="D33" s="79" t="s">
        <v>0</v>
      </c>
      <c r="E33" s="12">
        <f>C33</f>
        <v>6748128.8797052354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97428964.505623519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3169561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30.738946026160569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24.496441149302228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Roskilde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19535389.233338296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19535389.233338296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19535389.233338296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-74234.479086685533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Roskilde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14577307.445917036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19461154.75425161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19535389.233338296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1965260.1568738325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491315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Roskilde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492776050.6037128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29269795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29269795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Roskilde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2040052</v>
      </c>
      <c r="F8" s="34">
        <f t="shared" ref="F8" si="0">E8/D8</f>
        <v>27200.693333333333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3802872</v>
      </c>
      <c r="F9" s="34">
        <f t="shared" ref="F9:F15" si="1">E9/D9</f>
        <v>50704.959999999999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182</v>
      </c>
      <c r="E10" s="32">
        <v>980415</v>
      </c>
      <c r="F10" s="34">
        <f t="shared" si="1"/>
        <v>13072.2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182</v>
      </c>
      <c r="E11" s="32">
        <v>154802</v>
      </c>
      <c r="F11" s="34">
        <f t="shared" si="1"/>
        <v>2064.0266666666666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187</v>
      </c>
      <c r="E12" s="32">
        <v>156695</v>
      </c>
      <c r="F12" s="34">
        <f t="shared" si="1"/>
        <v>15669.5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181</v>
      </c>
      <c r="D13" s="31" t="s">
        <v>188</v>
      </c>
      <c r="E13" s="32">
        <v>5314707</v>
      </c>
      <c r="F13" s="34">
        <f t="shared" si="1"/>
        <v>212588.28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181</v>
      </c>
      <c r="D14" s="31" t="s">
        <v>188</v>
      </c>
      <c r="E14" s="32">
        <v>832086</v>
      </c>
      <c r="F14" s="34">
        <f t="shared" si="1"/>
        <v>33283.440000000002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181</v>
      </c>
      <c r="D15" s="31" t="s">
        <v>191</v>
      </c>
      <c r="E15" s="32">
        <v>65775</v>
      </c>
      <c r="F15" s="34">
        <f t="shared" si="1"/>
        <v>4385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358968.10000000003</v>
      </c>
      <c r="G16" s="37" t="s">
        <v>0</v>
      </c>
      <c r="H16" s="26"/>
    </row>
    <row r="17" spans="1:8" s="148" customFormat="1" x14ac:dyDescent="0.25">
      <c r="A17" s="26"/>
      <c r="B17" s="107" t="s">
        <v>132</v>
      </c>
      <c r="C17" s="159"/>
      <c r="D17" s="159"/>
      <c r="E17" s="159"/>
      <c r="F17" s="66">
        <v>1431014.1133333333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1789982.2133333334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Roskilde Vand AS</v>
      </c>
      <c r="B1" s="162"/>
      <c r="C1" s="162"/>
      <c r="D1" s="162"/>
      <c r="E1" s="162"/>
    </row>
    <row r="2" spans="1:5" x14ac:dyDescent="0.25">
      <c r="A2" s="1" t="str">
        <f>'1. Forside'!A2</f>
        <v>V155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827333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954943.97333333339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investeringer'!F16</f>
        <v>358968.10000000003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-1064340.7733333334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Roskilde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197</v>
      </c>
      <c r="C8" s="30">
        <v>2015</v>
      </c>
      <c r="D8" s="31">
        <v>10</v>
      </c>
      <c r="E8" s="32">
        <v>10429311</v>
      </c>
      <c r="F8" s="45">
        <f>E8/D8</f>
        <v>1042931.1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75</v>
      </c>
      <c r="E9" s="32">
        <v>584965</v>
      </c>
      <c r="F9" s="45">
        <f t="shared" ref="F9:F20" si="0">E9/D9</f>
        <v>7799.5333333333338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>
        <v>2015</v>
      </c>
      <c r="D10" s="31">
        <v>75</v>
      </c>
      <c r="E10" s="32">
        <v>17671443</v>
      </c>
      <c r="F10" s="45">
        <f t="shared" si="0"/>
        <v>235619.24</v>
      </c>
      <c r="G10" s="35" t="s">
        <v>0</v>
      </c>
      <c r="H10" s="26"/>
    </row>
    <row r="11" spans="1:8" s="148" customFormat="1" x14ac:dyDescent="0.25">
      <c r="A11" s="26"/>
      <c r="B11" s="29" t="s">
        <v>198</v>
      </c>
      <c r="C11" s="30">
        <v>2015</v>
      </c>
      <c r="D11" s="31">
        <v>50</v>
      </c>
      <c r="E11" s="32">
        <v>500000</v>
      </c>
      <c r="F11" s="45">
        <f t="shared" si="0"/>
        <v>10000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>
        <v>2015</v>
      </c>
      <c r="D12" s="31">
        <v>25</v>
      </c>
      <c r="E12" s="32">
        <v>700000</v>
      </c>
      <c r="F12" s="45">
        <f t="shared" si="0"/>
        <v>28000</v>
      </c>
      <c r="G12" s="35" t="s">
        <v>0</v>
      </c>
      <c r="H12" s="26"/>
    </row>
    <row r="13" spans="1:8" s="148" customFormat="1" x14ac:dyDescent="0.25">
      <c r="A13" s="26"/>
      <c r="B13" s="29" t="s">
        <v>199</v>
      </c>
      <c r="C13" s="30">
        <v>2015</v>
      </c>
      <c r="D13" s="31">
        <v>30</v>
      </c>
      <c r="E13" s="32">
        <v>1000000</v>
      </c>
      <c r="F13" s="45">
        <f t="shared" si="0"/>
        <v>33333.333333333336</v>
      </c>
      <c r="G13" s="35" t="s">
        <v>0</v>
      </c>
      <c r="H13" s="26"/>
    </row>
    <row r="14" spans="1:8" s="148" customFormat="1" x14ac:dyDescent="0.25">
      <c r="A14" s="26"/>
      <c r="B14" s="29" t="s">
        <v>200</v>
      </c>
      <c r="C14" s="30">
        <v>2015</v>
      </c>
      <c r="D14" s="31">
        <v>50</v>
      </c>
      <c r="E14" s="32">
        <v>500000</v>
      </c>
      <c r="F14" s="45">
        <f t="shared" si="0"/>
        <v>10000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>
        <v>2015</v>
      </c>
      <c r="D15" s="31">
        <v>15</v>
      </c>
      <c r="E15" s="32">
        <v>21269</v>
      </c>
      <c r="F15" s="45">
        <f t="shared" si="0"/>
        <v>1417.9333333333334</v>
      </c>
      <c r="G15" s="35" t="s">
        <v>0</v>
      </c>
      <c r="H15" s="26"/>
    </row>
    <row r="16" spans="1:8" s="148" customFormat="1" x14ac:dyDescent="0.25">
      <c r="A16" s="26"/>
      <c r="B16" s="29" t="s">
        <v>202</v>
      </c>
      <c r="C16" s="30">
        <v>2015</v>
      </c>
      <c r="D16" s="31">
        <v>8</v>
      </c>
      <c r="E16" s="32">
        <v>29965</v>
      </c>
      <c r="F16" s="45">
        <f t="shared" si="0"/>
        <v>3745.625</v>
      </c>
      <c r="G16" s="35" t="s">
        <v>0</v>
      </c>
      <c r="H16" s="26"/>
    </row>
    <row r="17" spans="1:8" s="148" customFormat="1" x14ac:dyDescent="0.25">
      <c r="A17" s="26"/>
      <c r="B17" s="29" t="s">
        <v>184</v>
      </c>
      <c r="C17" s="30">
        <v>2016</v>
      </c>
      <c r="D17" s="31">
        <v>75</v>
      </c>
      <c r="E17" s="32">
        <v>11300000</v>
      </c>
      <c r="F17" s="45">
        <f t="shared" si="0"/>
        <v>150666.66666666666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>
        <v>2016</v>
      </c>
      <c r="D18" s="31">
        <v>10</v>
      </c>
      <c r="E18" s="32">
        <v>3200000</v>
      </c>
      <c r="F18" s="45">
        <f t="shared" si="0"/>
        <v>320000</v>
      </c>
      <c r="G18" s="35" t="s">
        <v>0</v>
      </c>
      <c r="H18" s="26"/>
    </row>
    <row r="19" spans="1:8" s="148" customFormat="1" x14ac:dyDescent="0.25">
      <c r="A19" s="26"/>
      <c r="B19" s="29" t="s">
        <v>189</v>
      </c>
      <c r="C19" s="30">
        <v>2016</v>
      </c>
      <c r="D19" s="31">
        <v>25</v>
      </c>
      <c r="E19" s="32">
        <v>700000</v>
      </c>
      <c r="F19" s="45">
        <f t="shared" si="0"/>
        <v>28000</v>
      </c>
      <c r="G19" s="35" t="s">
        <v>0</v>
      </c>
      <c r="H19" s="26"/>
    </row>
    <row r="20" spans="1:8" s="148" customFormat="1" x14ac:dyDescent="0.25">
      <c r="A20" s="26"/>
      <c r="B20" s="29" t="s">
        <v>203</v>
      </c>
      <c r="C20" s="30">
        <v>2016</v>
      </c>
      <c r="D20" s="31">
        <v>10</v>
      </c>
      <c r="E20" s="32">
        <v>500000</v>
      </c>
      <c r="F20" s="45">
        <f t="shared" si="0"/>
        <v>50000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1372846.7649999999</v>
      </c>
      <c r="G21" s="47" t="s">
        <v>0</v>
      </c>
      <c r="H21" s="26"/>
    </row>
    <row r="22" spans="1:8" s="148" customFormat="1" x14ac:dyDescent="0.25">
      <c r="A22" s="26"/>
      <c r="B22" s="107" t="s">
        <v>130</v>
      </c>
      <c r="C22" s="168"/>
      <c r="D22" s="169"/>
      <c r="E22" s="170"/>
      <c r="F22" s="46">
        <f>SUMIF(C8:C20,"2016",F8:F20)</f>
        <v>548666.66666666663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1921513.4316666666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Roskilde Vand AS</v>
      </c>
      <c r="B1" s="56"/>
      <c r="C1" s="56"/>
      <c r="D1" s="176"/>
      <c r="E1" s="56"/>
    </row>
    <row r="2" spans="1:5" x14ac:dyDescent="0.25">
      <c r="A2" s="220" t="str">
        <f>'1. Forside'!A2</f>
        <v>V155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204</v>
      </c>
      <c r="C8" s="51">
        <v>1082105</v>
      </c>
      <c r="D8" s="181" t="s">
        <v>0</v>
      </c>
      <c r="E8" s="56"/>
    </row>
    <row r="9" spans="1:5" x14ac:dyDescent="0.25">
      <c r="A9" s="56"/>
      <c r="B9" s="206" t="s">
        <v>205</v>
      </c>
      <c r="C9" s="51">
        <v>90000</v>
      </c>
      <c r="D9" s="181" t="s">
        <v>0</v>
      </c>
      <c r="E9" s="56"/>
    </row>
    <row r="10" spans="1:5" x14ac:dyDescent="0.25">
      <c r="A10" s="56"/>
      <c r="B10" s="206" t="s">
        <v>206</v>
      </c>
      <c r="C10" s="51">
        <v>2028000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3233105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207</v>
      </c>
      <c r="C14" s="178"/>
      <c r="D14" s="179"/>
      <c r="E14" s="56"/>
    </row>
    <row r="15" spans="1:5" x14ac:dyDescent="0.25">
      <c r="A15" s="56"/>
      <c r="B15" s="53" t="s">
        <v>208</v>
      </c>
      <c r="C15" s="180">
        <v>19786000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19786000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120000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24500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144500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33877578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19805105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14072473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2015-09-11T14:20:12Z</cp:lastPrinted>
  <dcterms:created xsi:type="dcterms:W3CDTF">2014-01-17T08:54:17Z</dcterms:created>
  <dcterms:modified xsi:type="dcterms:W3CDTF">2015-10-08T10:07:16Z</dcterms:modified>
</cp:coreProperties>
</file>