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9" i="2" l="1"/>
  <c r="F10" i="2"/>
  <c r="F11" i="2"/>
  <c r="F12" i="2"/>
  <c r="E31" i="19" l="1"/>
  <c r="C36" i="19" l="1"/>
  <c r="E36" i="19" s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4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15" i="7" l="1"/>
  <c r="C9" i="12" l="1"/>
  <c r="C11" i="12" s="1"/>
  <c r="C31" i="8" s="1"/>
  <c r="E31" i="8" s="1"/>
  <c r="F8" i="2" l="1"/>
  <c r="F8" i="7"/>
  <c r="F14" i="7" s="1"/>
  <c r="F13" i="2" l="1"/>
  <c r="C9" i="10" s="1"/>
  <c r="C15" i="11" l="1"/>
  <c r="C28" i="8" s="1"/>
  <c r="C14" i="4"/>
  <c r="C26" i="8" s="1"/>
  <c r="C26" i="3"/>
  <c r="C24" i="8" s="1"/>
  <c r="F16" i="7"/>
  <c r="C18" i="8" s="1"/>
  <c r="C20" i="3"/>
  <c r="C23" i="8" s="1"/>
  <c r="C9" i="3"/>
  <c r="C21" i="8" s="1"/>
  <c r="C8" i="4"/>
  <c r="C25" i="8" s="1"/>
  <c r="C10" i="10"/>
  <c r="C17" i="8" s="1"/>
  <c r="F15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<sst xmlns="http://schemas.openxmlformats.org/spreadsheetml/2006/main" count="364" uniqueCount="192">
  <si>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</si>
  <si>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</si>
  <si>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</si>
  <si>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</si>
  <si>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</si>
  <si>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</si>
  <si>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</si>
  <si>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</si>
  <si>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</si>
  <si>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</si>
  <si>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</si>
  <si>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</si>
  <si>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</si>
  <si>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</si>
  <si>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</si>
  <si>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</si>
  <si>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</si>
  <si>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</si>
  <si>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</si>
  <si>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</si>
  <si>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</si>
  <si>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</si>
  <si>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</si>
  <si>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</si>
  <si>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</si>
  <si>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</si>
  <si>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</si>
  <si>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</si>
  <si>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</si>
  <si>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</si>
  <si>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</si>
  <si>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</si>
  <si>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</si>
  <si>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</si>
  <si>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</si>
  <si>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</si>
  <si>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</si>
  <si>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</si>
  <si>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</si>
  <si>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</si>
  <si>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</si>
  <si>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</si>
  <si>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</si>
  <si>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</si>
  <si>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</si>
  <si>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</si>
  <si>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</si>
  <si>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</si>
  <si>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</si>
  <si>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</si>
  <si>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</si>
  <si>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</si>
  <si>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</si>
  <si>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</si>
  <si>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</si>
  <si>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</si>
  <si>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</si>
  <si>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</si>
  <si>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</si>
  <si>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</si>
  <si>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</si>
  <si>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</si>
  <si>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</si>
  <si>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</si>
  <si>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</si>
  <si>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</si>
  <si>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</si>
  <si>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</si>
  <si>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</si>
  <si>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</si>
  <si>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</si>
  <si>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</si>
  <si>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</si>
  <si>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</si>
  <si>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</si>
  <si>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</si>
  <si>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</si>
  <si>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</si>
  <si>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</si>
  <si>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</si>
  <si>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</si>
  <si>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</si>
  <si>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</si>
  <si>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</si>
  <si>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</si>
  <si>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</si>
  <si>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</si>
  <si>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</si>
  <si>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</si>
  <si>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</si>
  <si>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</si>
  <si>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</si>
  <si>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</si>
  <si>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</si>
  <si>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</si>
  <si>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</si>
  <si>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</si>
  <si>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</si>
  <si>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</si>
  <si>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</si>
  <si>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</si>
  <si>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</si>
  <si>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</si>
  <si>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</si>
  <si>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</si>
  <si>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</si>
  <si>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</si>
  <si>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</si>
  <si>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</si>
  <si>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</si>
  <si>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</si>
  <si>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</si>
  <si>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</si>
  <si>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</si>
  <si>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</si>
  <si>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</si>
  <si>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</si>
  <si>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</si>
  <si>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</si>
  <si>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</si>
  <si>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</si>
  <si>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</si>
  <si>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</si>
  <si>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</si>
  <si>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</si>
  <si>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</si>
  <si>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</si>
  <si>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</si>
  <si>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</si>
  <si>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</si>
  <si>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</si>
  <si>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</si>
  <si>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</si>
  <si>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</si>
  <si>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</si>
  <si>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</si>
  <si>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</si>
  <si>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</si>
  <si>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</si>
  <si>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</si>
  <si>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</si>
  <si>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</si>
  <si>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</si>
  <si>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</si>
  <si>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</si>
  <si>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</si>
  <si>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</si>
  <si>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</si>
  <si>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</si>
  <si>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</si>
  <si>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</si>
  <si>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</si>
  <si>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</si>
  <si>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</si>
  <si>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</si>
  <si>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</si>
  <si>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</si>
  <si>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</si>
  <si>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</si>
  <si>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</si>
  <si>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</si>
  <si>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</si>
  <si>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</si>
  <si>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</si>
  <si>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</si>
  <si>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</si>
  <si>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</si>
  <si>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</si>
  <si>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</si>
  <si>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</si>
  <si>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</si>
  <si>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</si>
  <si>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</si>
  <si>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</si>
  <si>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</si>
  <si>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</si>
  <si>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</si>
  <si>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</si>
  <si>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</si>
  <si>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</si>
  <si>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</si>
  <si>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 xml:space="preserve">Afregningsmålere, mekaniske </t>
  </si>
  <si>
    <t>Ø 50mm &lt; Ledningsnet ≤ Ø110 mm</t>
  </si>
  <si>
    <t>SRO anlæg</t>
  </si>
  <si>
    <t>Instrumenter (flowmåler+tryk transducer+alarmer)</t>
  </si>
  <si>
    <t>Filteranlæg, åbne filtre, enkelt filtrering, Mek./EL</t>
  </si>
  <si>
    <t>Boring (inkl. etablering, forerør, filter og prøvepumpning)</t>
  </si>
  <si>
    <t>Selskabsskatter</t>
  </si>
  <si>
    <t>Støvring Vandværk a.m.b.a.</t>
  </si>
  <si>
    <t>V176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</si>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</sst>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188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189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Støvring Vandværk a.m.b.a.</v>
      </c>
      <c r="B1" s="56"/>
      <c r="C1" s="56"/>
      <c r="D1" s="56"/>
      <c r="E1" s="56"/>
    </row>
    <row r="2" spans="1:5" x14ac:dyDescent="0.25">
      <c r="A2" s="220" t="str">
        <f>'1. Forside'!A2</f>
        <v>V176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Støvring Vandværk a.m.b.a.</v>
      </c>
      <c r="B1" s="26"/>
      <c r="C1" s="26"/>
      <c r="D1" s="26"/>
      <c r="E1" s="26"/>
    </row>
    <row r="2" spans="1:5" x14ac:dyDescent="0.25">
      <c r="A2" s="221" t="str">
        <f>'1. Forside'!A2</f>
        <v>V176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25000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50000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-25000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-54267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-25000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-29267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Støvring Vandværk a.m.b.a.</v>
      </c>
      <c r="B1" s="26"/>
      <c r="C1" s="26"/>
      <c r="D1" s="26"/>
      <c r="E1" s="26"/>
    </row>
    <row r="2" spans="1:5" x14ac:dyDescent="0.25">
      <c r="A2" s="221" t="str">
        <f>'1. Forside'!A2</f>
        <v>V176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-5211496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-2652888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-2558608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-511721.6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Støvring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V176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5953993.5776432585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1956895.6273089279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142408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54470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67167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2220940.6273089279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1042315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1042315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-1138075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-1138075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2125180.6273089279</v>
      </c>
      <c r="D27" s="79" t="s">
        <v>0</v>
      </c>
      <c r="E27" s="10">
        <f>IF(C27&lt;0,0,-C27)</f>
        <v>-2125180.6273089279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73358</v>
      </c>
      <c r="D29" s="79" t="s">
        <v>0</v>
      </c>
      <c r="E29" s="10">
        <f>-C29</f>
        <v>-73358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4440903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4440903</v>
      </c>
      <c r="D36" s="79" t="s">
        <v>0</v>
      </c>
      <c r="E36" s="10">
        <f>-C36</f>
        <v>-4440903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-685448.04966566944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Støvring Vandværk a.m.b.a.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V176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293129</v>
      </c>
      <c r="D7" s="222" t="s">
        <v>0</v>
      </c>
      <c r="E7" s="223">
        <v>224378</v>
      </c>
      <c r="F7" s="222" t="s">
        <v>0</v>
      </c>
      <c r="G7" s="223">
        <v>73358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73358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-219771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293129</v>
      </c>
      <c r="D11" s="226" t="s">
        <v>0</v>
      </c>
      <c r="E11" s="55">
        <f>C11+E7-E8-E9</f>
        <v>517507</v>
      </c>
      <c r="F11" s="226" t="s">
        <v>0</v>
      </c>
      <c r="G11" s="55">
        <f>E11+G7-G8-G9</f>
        <v>517507</v>
      </c>
      <c r="H11" s="226" t="s">
        <v>0</v>
      </c>
      <c r="I11" s="55">
        <f>G11+I7-I8-I9</f>
        <v>517507</v>
      </c>
      <c r="J11" s="226" t="s">
        <v>0</v>
      </c>
      <c r="K11" s="55">
        <f>K7-K8-K9+K10+I11</f>
        <v>297736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>
      <selection activeCell="B17" sqref="B17"/>
    </sheetView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Støvring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V176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1730018.9514845558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-6574.0720156413126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1723444.8794689146</v>
      </c>
      <c r="D13" s="79" t="s">
        <v>0</v>
      </c>
      <c r="E13" s="6">
        <f>C13</f>
        <v>1723444.8794689146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1860280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190</v>
      </c>
      <c r="C16" s="14">
        <f>'6. Gennemførte investeringer'!F15</f>
        <v>201443.11333333334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14049.893333333337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investeringer'!F16</f>
        <v>127000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2202773.0066666668</v>
      </c>
      <c r="D19" s="79" t="s">
        <v>0</v>
      </c>
      <c r="E19" s="8">
        <f>C19</f>
        <v>2202773.0066666668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134000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2207140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45000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-8172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-25000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-29267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2323701</v>
      </c>
      <c r="D29" s="79" t="s">
        <v>0</v>
      </c>
      <c r="E29" s="6">
        <f>C29</f>
        <v>2323701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-511721.6</v>
      </c>
      <c r="D31" s="79" t="s">
        <v>0</v>
      </c>
      <c r="E31" s="10">
        <f>C31</f>
        <v>-511721.6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-685448.04966566944</v>
      </c>
      <c r="D33" s="79" t="s">
        <v>0</v>
      </c>
      <c r="E33" s="12">
        <f>C33</f>
        <v>-685448.04966566944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5052749.2364699133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346096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14.599270827949221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8.2220228967393822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Støvring Vandværk a.m.b.a.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V176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1730018.9514845558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1730018.9514845558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1730018.9514845558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-6574.0720156413126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Støvring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V176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1506846.5067430481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1723444.8794689146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1730018.9514845558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0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Støvring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V176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79318091.993256316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1860280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1860280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5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Støvring Vandværk a.m.b.a.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V176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181</v>
      </c>
      <c r="C8" s="30">
        <v>2014</v>
      </c>
      <c r="D8" s="31">
        <v>8</v>
      </c>
      <c r="E8" s="32">
        <v>53652</v>
      </c>
      <c r="F8" s="34">
        <f t="shared" ref="F8" si="0">E8/D8</f>
        <v>6706.5</v>
      </c>
      <c r="G8" s="35" t="s">
        <v>0</v>
      </c>
      <c r="H8" s="26"/>
    </row>
    <row r="9" spans="1:8" s="148" customFormat="1" x14ac:dyDescent="0.25">
      <c r="A9" s="26"/>
      <c r="B9" s="29" t="s">
        <v>182</v>
      </c>
      <c r="C9" s="30">
        <v>2014</v>
      </c>
      <c r="D9" s="31">
        <v>75</v>
      </c>
      <c r="E9" s="32">
        <v>671128</v>
      </c>
      <c r="F9" s="34">
        <f t="shared" ref="F9:F12" si="1">E9/D9</f>
        <v>8948.373333333333</v>
      </c>
      <c r="G9" s="35" t="s">
        <v>0</v>
      </c>
      <c r="H9" s="26"/>
    </row>
    <row r="10" spans="1:8" s="148" customFormat="1" x14ac:dyDescent="0.25">
      <c r="A10" s="26"/>
      <c r="B10" s="29" t="s">
        <v>183</v>
      </c>
      <c r="C10" s="30">
        <v>2014</v>
      </c>
      <c r="D10" s="31">
        <v>10</v>
      </c>
      <c r="E10" s="32">
        <v>97110</v>
      </c>
      <c r="F10" s="34">
        <f t="shared" si="1"/>
        <v>9711</v>
      </c>
      <c r="G10" s="35" t="s">
        <v>0</v>
      </c>
      <c r="H10" s="26"/>
    </row>
    <row r="11" spans="1:8" s="148" customFormat="1" x14ac:dyDescent="0.25">
      <c r="A11" s="26"/>
      <c r="B11" s="29" t="s">
        <v>184</v>
      </c>
      <c r="C11" s="30">
        <v>2014</v>
      </c>
      <c r="D11" s="31">
        <v>10</v>
      </c>
      <c r="E11" s="32">
        <v>7000</v>
      </c>
      <c r="F11" s="34">
        <f t="shared" si="1"/>
        <v>700</v>
      </c>
      <c r="G11" s="35" t="s">
        <v>0</v>
      </c>
      <c r="H11" s="26"/>
    </row>
    <row r="12" spans="1:8" s="148" customFormat="1" x14ac:dyDescent="0.25">
      <c r="A12" s="26"/>
      <c r="B12" s="29" t="s">
        <v>185</v>
      </c>
      <c r="C12" s="30">
        <v>2014</v>
      </c>
      <c r="D12" s="31">
        <v>25</v>
      </c>
      <c r="E12" s="32">
        <v>425231</v>
      </c>
      <c r="F12" s="34">
        <f t="shared" si="1"/>
        <v>17009.240000000002</v>
      </c>
      <c r="G12" s="35" t="s">
        <v>0</v>
      </c>
      <c r="H12" s="26"/>
    </row>
    <row r="13" spans="1:8" s="148" customFormat="1" x14ac:dyDescent="0.25">
      <c r="A13" s="26"/>
      <c r="B13" s="23" t="s">
        <v>71</v>
      </c>
      <c r="C13" s="158"/>
      <c r="D13" s="158"/>
      <c r="E13" s="158"/>
      <c r="F13" s="36">
        <f>SUM(F8:F12)</f>
        <v>43075.113333333335</v>
      </c>
      <c r="G13" s="37" t="s">
        <v>0</v>
      </c>
      <c r="H13" s="26"/>
    </row>
    <row r="14" spans="1:8" s="148" customFormat="1" x14ac:dyDescent="0.25">
      <c r="A14" s="26"/>
      <c r="B14" s="107" t="s">
        <v>132</v>
      </c>
      <c r="C14" s="159"/>
      <c r="D14" s="159"/>
      <c r="E14" s="159"/>
      <c r="F14" s="66">
        <v>158368</v>
      </c>
      <c r="G14" s="37" t="s">
        <v>0</v>
      </c>
      <c r="H14" s="26"/>
    </row>
    <row r="15" spans="1:8" s="148" customFormat="1" x14ac:dyDescent="0.25">
      <c r="A15" s="26"/>
      <c r="B15" s="39" t="s">
        <v>68</v>
      </c>
      <c r="C15" s="160"/>
      <c r="D15" s="160"/>
      <c r="E15" s="161"/>
      <c r="F15" s="38">
        <f>F13+F14</f>
        <v>201443.11333333334</v>
      </c>
      <c r="G15" s="38" t="s">
        <v>0</v>
      </c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48" customFormat="1" hidden="1" x14ac:dyDescent="0.25"/>
    <row r="20" spans="1:8" s="148" customFormat="1" hidden="1" x14ac:dyDescent="0.25"/>
    <row r="21" spans="1:8" s="148" customFormat="1" hidden="1" x14ac:dyDescent="0.25"/>
    <row r="22" spans="1:8" s="148" customFormat="1" ht="14.45" hidden="1" customHeight="1" x14ac:dyDescent="0.25"/>
    <row r="23" spans="1:8" s="148" customFormat="1" ht="14.45" hidden="1" customHeight="1" x14ac:dyDescent="0.25"/>
    <row r="24" spans="1:8" s="148" customFormat="1" ht="1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idden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Støvring Vandværk a.m.b.a.</v>
      </c>
      <c r="B1" s="162"/>
      <c r="C1" s="162"/>
      <c r="D1" s="162"/>
      <c r="E1" s="162"/>
    </row>
    <row r="2" spans="1:5" x14ac:dyDescent="0.25">
      <c r="A2" s="1" t="str">
        <f>'1. Forside'!A2</f>
        <v>V176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49167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22933.333333333332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investeringer'!F13</f>
        <v>43075.113333333335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14049.893333333337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4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Støvring Vandværk a.m.b.a.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V176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186</v>
      </c>
      <c r="C8" s="30">
        <v>2015</v>
      </c>
      <c r="D8" s="31">
        <v>30</v>
      </c>
      <c r="E8" s="32">
        <v>500000</v>
      </c>
      <c r="F8" s="45">
        <f>E8/D8</f>
        <v>16666.666666666668</v>
      </c>
      <c r="G8" s="35" t="s">
        <v>0</v>
      </c>
      <c r="H8" s="26"/>
    </row>
    <row r="9" spans="1:8" s="148" customFormat="1" x14ac:dyDescent="0.25">
      <c r="A9" s="26"/>
      <c r="B9" s="29" t="s">
        <v>182</v>
      </c>
      <c r="C9" s="30">
        <v>2015</v>
      </c>
      <c r="D9" s="31">
        <v>75</v>
      </c>
      <c r="E9" s="32">
        <v>700000</v>
      </c>
      <c r="F9" s="45">
        <f t="shared" ref="F9:F13" si="0">E9/D9</f>
        <v>9333.3333333333339</v>
      </c>
      <c r="G9" s="35" t="s">
        <v>0</v>
      </c>
      <c r="H9" s="26"/>
    </row>
    <row r="10" spans="1:8" s="148" customFormat="1" x14ac:dyDescent="0.25">
      <c r="A10" s="26"/>
      <c r="B10" s="29" t="s">
        <v>181</v>
      </c>
      <c r="C10" s="30">
        <v>2015</v>
      </c>
      <c r="D10" s="31">
        <v>8</v>
      </c>
      <c r="E10" s="32">
        <v>300000</v>
      </c>
      <c r="F10" s="45">
        <f t="shared" si="0"/>
        <v>37500</v>
      </c>
      <c r="G10" s="35" t="s">
        <v>0</v>
      </c>
      <c r="H10" s="26"/>
    </row>
    <row r="11" spans="1:8" s="148" customFormat="1" x14ac:dyDescent="0.25">
      <c r="A11" s="26"/>
      <c r="B11" s="29" t="s">
        <v>186</v>
      </c>
      <c r="C11" s="30">
        <v>2016</v>
      </c>
      <c r="D11" s="31">
        <v>30</v>
      </c>
      <c r="E11" s="32">
        <v>500000</v>
      </c>
      <c r="F11" s="45">
        <f t="shared" si="0"/>
        <v>16666.666666666668</v>
      </c>
      <c r="G11" s="35" t="s">
        <v>0</v>
      </c>
      <c r="H11" s="26"/>
    </row>
    <row r="12" spans="1:8" s="148" customFormat="1" x14ac:dyDescent="0.25">
      <c r="A12" s="26"/>
      <c r="B12" s="29" t="s">
        <v>182</v>
      </c>
      <c r="C12" s="30">
        <v>2016</v>
      </c>
      <c r="D12" s="31">
        <v>75</v>
      </c>
      <c r="E12" s="32">
        <v>700000</v>
      </c>
      <c r="F12" s="45">
        <f t="shared" si="0"/>
        <v>9333.3333333333339</v>
      </c>
      <c r="G12" s="35" t="s">
        <v>0</v>
      </c>
      <c r="H12" s="26"/>
    </row>
    <row r="13" spans="1:8" s="148" customFormat="1" x14ac:dyDescent="0.25">
      <c r="A13" s="26"/>
      <c r="B13" s="29" t="s">
        <v>181</v>
      </c>
      <c r="C13" s="30">
        <v>2016</v>
      </c>
      <c r="D13" s="31">
        <v>8</v>
      </c>
      <c r="E13" s="32">
        <v>300000</v>
      </c>
      <c r="F13" s="45">
        <f t="shared" si="0"/>
        <v>37500</v>
      </c>
      <c r="G13" s="35" t="s">
        <v>0</v>
      </c>
      <c r="H13" s="26"/>
    </row>
    <row r="14" spans="1:8" s="148" customFormat="1" x14ac:dyDescent="0.25">
      <c r="A14" s="26"/>
      <c r="B14" s="109" t="s">
        <v>72</v>
      </c>
      <c r="C14" s="165"/>
      <c r="D14" s="166"/>
      <c r="E14" s="167"/>
      <c r="F14" s="46">
        <f>SUMIF(C8:C13,"2015",F8:F13)</f>
        <v>63500</v>
      </c>
      <c r="G14" s="47" t="s">
        <v>0</v>
      </c>
      <c r="H14" s="26"/>
    </row>
    <row r="15" spans="1:8" s="148" customFormat="1" x14ac:dyDescent="0.25">
      <c r="A15" s="26"/>
      <c r="B15" s="107" t="s">
        <v>130</v>
      </c>
      <c r="C15" s="168"/>
      <c r="D15" s="169"/>
      <c r="E15" s="170"/>
      <c r="F15" s="46">
        <f>SUMIF(C8:C13,"2016",F8:F13)</f>
        <v>63500</v>
      </c>
      <c r="G15" s="47" t="s">
        <v>0</v>
      </c>
      <c r="H15" s="26"/>
    </row>
    <row r="16" spans="1:8" s="148" customFormat="1" x14ac:dyDescent="0.25">
      <c r="A16" s="26"/>
      <c r="B16" s="50" t="s">
        <v>36</v>
      </c>
      <c r="C16" s="171"/>
      <c r="D16" s="172"/>
      <c r="E16" s="172"/>
      <c r="F16" s="48">
        <f>F14+F15</f>
        <v>127000</v>
      </c>
      <c r="G16" s="49" t="s">
        <v>0</v>
      </c>
      <c r="H16" s="26"/>
    </row>
    <row r="17" spans="1:8" s="148" customFormat="1" x14ac:dyDescent="0.25">
      <c r="A17" s="26"/>
      <c r="B17" s="26"/>
      <c r="C17" s="164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164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164"/>
      <c r="D19" s="26"/>
      <c r="E19" s="26"/>
      <c r="F19" s="173"/>
      <c r="G19" s="173"/>
      <c r="H19" s="26"/>
    </row>
    <row r="20" spans="1:8" s="148" customFormat="1" hidden="1" x14ac:dyDescent="0.25">
      <c r="C20" s="174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t="12" hidden="1" customHeight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>
      <selection activeCell="A12" sqref="A12"/>
    </sheetView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Støvring Vandværk a.m.b.a.</v>
      </c>
      <c r="B1" s="56"/>
      <c r="C1" s="56"/>
      <c r="D1" s="176"/>
      <c r="E1" s="56"/>
    </row>
    <row r="2" spans="1:5" x14ac:dyDescent="0.25">
      <c r="A2" s="220" t="str">
        <f>'1. Forside'!A2</f>
        <v>V176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34000</v>
      </c>
      <c r="D7" s="181" t="s">
        <v>0</v>
      </c>
      <c r="E7" s="56"/>
    </row>
    <row r="8" spans="1:5" x14ac:dyDescent="0.25">
      <c r="A8" s="56"/>
      <c r="B8" s="206" t="s">
        <v>187</v>
      </c>
      <c r="C8" s="51">
        <v>100000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134000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176</v>
      </c>
      <c r="C12" s="178"/>
      <c r="D12" s="179"/>
      <c r="E12" s="56"/>
    </row>
    <row r="13" spans="1:5" x14ac:dyDescent="0.25">
      <c r="A13" s="56"/>
      <c r="B13" s="53" t="s">
        <v>191</v>
      </c>
      <c r="C13" s="180">
        <v>2207140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2207140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140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20000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25000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45000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141</v>
      </c>
      <c r="C23" s="265"/>
      <c r="D23" s="266"/>
      <c r="E23" s="56"/>
    </row>
    <row r="24" spans="1:5" x14ac:dyDescent="0.25">
      <c r="A24" s="56"/>
      <c r="B24" s="108" t="s">
        <v>142</v>
      </c>
      <c r="C24" s="19">
        <v>2215328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2223500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-8172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2015-09-17T13:15:59Z</dcterms:modified>
</cp:coreProperties>
</file>