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640" yWindow="120" windowWidth="20535" windowHeight="1155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0" i="11"/>
  <c r="F11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2" i="4" l="1"/>
  <c r="E13" i="4" s="1"/>
  <c r="G13" i="4" s="1"/>
  <c r="G16" i="4" s="1"/>
  <c r="E11" i="4"/>
  <c r="E9" i="5" l="1"/>
  <c r="E12" i="5" l="1"/>
  <c r="E9" i="6"/>
  <c r="E11" i="5"/>
  <c r="E13" i="5"/>
  <c r="G13" i="5" s="1"/>
  <c r="G16" i="5" s="1"/>
  <c r="E11" i="6" l="1"/>
  <c r="E12" i="6"/>
  <c r="E13" i="6" s="1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<sst xmlns="http://schemas.openxmlformats.org/spreadsheetml/2006/main" count="244" uniqueCount="119">
  <si>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</si>
  <si>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</si>
  <si>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</si>
  <si>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</si>
  <si>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</si>
  <si>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</si>
  <si>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</si>
  <si>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</si>
  <si>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</si>
  <si>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</si>
  <si>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</si>
  <si>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</si>
  <si>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</si>
  <si>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</si>
  <si>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</si>
  <si>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</si>
  <si>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</si>
  <si>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</si>
  <si>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</si>
  <si>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</si>
  <si>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</si>
  <si>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</si>
  <si>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</si>
  <si>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</si>
  <si>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</si>
  <si>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</si>
  <si>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</si>
  <si>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</si>
  <si>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</si>
  <si>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</si>
  <si>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</si>
  <si>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</si>
  <si>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</si>
  <si>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</si>
  <si>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</si>
  <si>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</si>
  <si>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</si>
  <si>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</si>
  <si>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</si>
  <si>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</si>
  <si>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</si>
  <si>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</si>
  <si>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</si>
  <si>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</si>
  <si>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</si>
  <si>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</si>
  <si>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</si>
  <si>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</si>
  <si>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</si>
  <si>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</si>
  <si>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</si>
  <si>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</si>
  <si>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</si>
  <si>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</si>
  <si>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</si>
  <si>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</si>
  <si>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</si>
  <si>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</si>
  <si>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</si>
  <si>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</si>
  <si>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</si>
  <si>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</si>
  <si>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</si>
  <si>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</si>
  <si>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</si>
  <si>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</si>
  <si>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</si>
  <si>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</si>
  <si>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</si>
  <si>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</si>
  <si>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</si>
  <si>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</si>
  <si>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</si>
  <si>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</si>
  <si>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</si>
  <si>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</si>
  <si>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</si>
  <si>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</si>
  <si>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</si>
  <si>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</si>
  <si>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</si>
  <si>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</si>
  <si>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</si>
  <si>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</si>
  <si>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</si>
  <si>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</si>
  <si>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</si>
  <si>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</si>
  <si>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</si>
  <si>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</si>
  <si>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</si>
  <si>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</si>
  <si>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</si>
  <si>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</si>
  <si>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</si>
  <si>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</si>
  <si>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</si>
  <si>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</si>
  <si>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</si>
  <si>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</si>
  <si>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</si>
  <si>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</si>
  <si>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</si>
  <si>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</si>
  <si>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</si>
  <si>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</si>
  <si>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</si>
  <si>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</si>
  <si>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</si>
  <si>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</si>
  <si>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 anlæg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</si>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</sst>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109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6" t="s">
        <v>26</v>
      </c>
      <c r="E13" s="67"/>
      <c r="F13" s="67"/>
      <c r="G13" s="68"/>
      <c r="H13" s="1"/>
      <c r="I13" s="1"/>
    </row>
    <row r="14" spans="1:9" x14ac:dyDescent="0.25">
      <c r="A14" s="1"/>
      <c r="B14" s="1"/>
      <c r="C14" s="3" t="s">
        <v>14</v>
      </c>
      <c r="D14" s="54" t="s">
        <v>23</v>
      </c>
      <c r="E14" s="55"/>
      <c r="F14" s="55"/>
      <c r="G14" s="56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4" t="s">
        <v>25</v>
      </c>
      <c r="E16" s="55"/>
      <c r="F16" s="55"/>
      <c r="G16" s="56"/>
      <c r="H16" s="1"/>
      <c r="I16" s="1"/>
    </row>
    <row r="17" spans="1:9" x14ac:dyDescent="0.25">
      <c r="A17" s="1"/>
      <c r="B17" s="1"/>
      <c r="C17" s="3" t="s">
        <v>17</v>
      </c>
      <c r="D17" s="57" t="s">
        <v>27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28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63" t="s">
        <v>32</v>
      </c>
      <c r="E19" s="64"/>
      <c r="F19" s="64"/>
      <c r="G19" s="65"/>
      <c r="H19" s="1"/>
      <c r="I19" s="1"/>
    </row>
    <row r="20" spans="1:9" x14ac:dyDescent="0.25">
      <c r="A20" s="1"/>
      <c r="B20" s="1"/>
      <c r="C20" s="3" t="s">
        <v>20</v>
      </c>
      <c r="D20" s="46" t="s">
        <v>6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6" t="s">
        <v>29</v>
      </c>
      <c r="E21" s="47"/>
      <c r="F21" s="47"/>
      <c r="G21" s="48"/>
      <c r="H21" s="1"/>
      <c r="I21" s="1"/>
    </row>
    <row r="22" spans="1:9" x14ac:dyDescent="0.25">
      <c r="A22" s="1"/>
      <c r="B22" s="1"/>
      <c r="C22" s="3" t="s">
        <v>22</v>
      </c>
      <c r="D22" s="49" t="s">
        <v>30</v>
      </c>
      <c r="E22" s="50"/>
      <c r="F22" s="50"/>
      <c r="G22" s="5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0" t="s">
        <v>116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1" t="s">
        <v>93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79" t="s">
        <v>81</v>
      </c>
      <c r="C9" s="80"/>
      <c r="D9" s="80"/>
      <c r="E9" s="80"/>
      <c r="F9" s="81"/>
      <c r="G9" s="36">
        <v>42208</v>
      </c>
      <c r="H9" s="10" t="s">
        <v>4</v>
      </c>
      <c r="I9" s="1"/>
    </row>
    <row r="10" spans="1:9" x14ac:dyDescent="0.25">
      <c r="A10" s="1"/>
      <c r="B10" s="79" t="s">
        <v>82</v>
      </c>
      <c r="C10" s="80"/>
      <c r="D10" s="80"/>
      <c r="E10" s="80"/>
      <c r="F10" s="81"/>
      <c r="G10" s="36">
        <v>42600</v>
      </c>
      <c r="H10" s="10" t="s">
        <v>4</v>
      </c>
      <c r="I10" s="1"/>
    </row>
    <row r="11" spans="1:9" x14ac:dyDescent="0.25">
      <c r="A11" s="1"/>
      <c r="B11" s="75" t="s">
        <v>83</v>
      </c>
      <c r="C11" s="76"/>
      <c r="D11" s="76"/>
      <c r="E11" s="76"/>
      <c r="F11" s="77"/>
      <c r="G11" s="34">
        <f>G9-G10</f>
        <v>-392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1" t="s">
        <v>84</v>
      </c>
      <c r="C14" s="92"/>
      <c r="D14" s="92"/>
      <c r="E14" s="92"/>
      <c r="F14" s="92"/>
      <c r="G14" s="92"/>
      <c r="H14" s="93"/>
      <c r="I14" s="1"/>
    </row>
    <row r="15" spans="1:9" x14ac:dyDescent="0.25">
      <c r="A15" s="1"/>
      <c r="B15" s="79" t="s">
        <v>85</v>
      </c>
      <c r="C15" s="80"/>
      <c r="D15" s="80"/>
      <c r="E15" s="80"/>
      <c r="F15" s="81"/>
      <c r="G15" s="36">
        <v>-42328</v>
      </c>
      <c r="H15" s="10" t="s">
        <v>4</v>
      </c>
      <c r="I15" s="1"/>
    </row>
    <row r="16" spans="1:9" x14ac:dyDescent="0.25">
      <c r="A16" s="1"/>
      <c r="B16" s="79" t="s">
        <v>86</v>
      </c>
      <c r="C16" s="80"/>
      <c r="D16" s="80"/>
      <c r="E16" s="80"/>
      <c r="F16" s="81"/>
      <c r="G16" s="36">
        <v>-35000</v>
      </c>
      <c r="H16" s="10" t="s">
        <v>4</v>
      </c>
      <c r="I16" s="1"/>
    </row>
    <row r="17" spans="1:9" x14ac:dyDescent="0.25">
      <c r="A17" s="1"/>
      <c r="B17" s="75" t="s">
        <v>87</v>
      </c>
      <c r="C17" s="76"/>
      <c r="D17" s="76"/>
      <c r="E17" s="76"/>
      <c r="F17" s="77"/>
      <c r="G17" s="34">
        <f>G15-G16</f>
        <v>-7328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1" t="s">
        <v>94</v>
      </c>
      <c r="C20" s="92"/>
      <c r="D20" s="92"/>
      <c r="E20" s="92"/>
      <c r="F20" s="92"/>
      <c r="G20" s="92"/>
      <c r="H20" s="93"/>
      <c r="I20" s="1"/>
    </row>
    <row r="21" spans="1:9" x14ac:dyDescent="0.25">
      <c r="A21" s="1"/>
      <c r="B21" s="79" t="s">
        <v>95</v>
      </c>
      <c r="C21" s="80"/>
      <c r="D21" s="80"/>
      <c r="E21" s="80"/>
      <c r="F21" s="81"/>
      <c r="G21" s="36">
        <v>0</v>
      </c>
      <c r="H21" s="10" t="s">
        <v>4</v>
      </c>
      <c r="I21" s="1"/>
    </row>
    <row r="22" spans="1:9" x14ac:dyDescent="0.25">
      <c r="A22" s="1"/>
      <c r="B22" s="79" t="s">
        <v>97</v>
      </c>
      <c r="C22" s="80"/>
      <c r="D22" s="80"/>
      <c r="E22" s="80"/>
      <c r="F22" s="81"/>
      <c r="G22" s="36">
        <v>0</v>
      </c>
      <c r="H22" s="10" t="s">
        <v>4</v>
      </c>
      <c r="I22" s="1"/>
    </row>
    <row r="23" spans="1:9" x14ac:dyDescent="0.25">
      <c r="A23" s="1"/>
      <c r="B23" s="75" t="s">
        <v>96</v>
      </c>
      <c r="C23" s="76"/>
      <c r="D23" s="76"/>
      <c r="E23" s="76"/>
      <c r="F23" s="77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1" t="s">
        <v>88</v>
      </c>
      <c r="C26" s="92"/>
      <c r="D26" s="92"/>
      <c r="E26" s="92"/>
      <c r="F26" s="92"/>
      <c r="G26" s="92"/>
      <c r="H26" s="93"/>
      <c r="I26" s="1"/>
    </row>
    <row r="27" spans="1:9" x14ac:dyDescent="0.25">
      <c r="A27" s="1"/>
      <c r="B27" s="79" t="s">
        <v>89</v>
      </c>
      <c r="C27" s="80"/>
      <c r="D27" s="80"/>
      <c r="E27" s="80"/>
      <c r="F27" s="81"/>
      <c r="G27" s="36">
        <v>20000</v>
      </c>
      <c r="H27" s="10" t="s">
        <v>4</v>
      </c>
      <c r="I27" s="1"/>
    </row>
    <row r="28" spans="1:9" x14ac:dyDescent="0.25">
      <c r="A28" s="1"/>
      <c r="B28" s="79" t="s">
        <v>90</v>
      </c>
      <c r="C28" s="80"/>
      <c r="D28" s="80"/>
      <c r="E28" s="80"/>
      <c r="F28" s="81"/>
      <c r="G28" s="36">
        <v>8000</v>
      </c>
      <c r="H28" s="10" t="s">
        <v>4</v>
      </c>
      <c r="I28" s="1"/>
    </row>
    <row r="29" spans="1:9" x14ac:dyDescent="0.25">
      <c r="A29" s="1"/>
      <c r="B29" s="79" t="s">
        <v>91</v>
      </c>
      <c r="C29" s="80"/>
      <c r="D29" s="80"/>
      <c r="E29" s="80"/>
      <c r="F29" s="81"/>
      <c r="G29" s="20">
        <f>'Fane 6. Gen. inv. i 2015'!F11</f>
        <v>1882</v>
      </c>
      <c r="H29" s="10" t="s">
        <v>4</v>
      </c>
      <c r="I29" s="1"/>
    </row>
    <row r="30" spans="1:9" x14ac:dyDescent="0.25">
      <c r="A30" s="1"/>
      <c r="B30" s="75" t="s">
        <v>88</v>
      </c>
      <c r="C30" s="76"/>
      <c r="D30" s="76"/>
      <c r="E30" s="76"/>
      <c r="F30" s="77"/>
      <c r="G30" s="34">
        <f>G29-G27+G29-G28</f>
        <v>-24236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0" t="s">
        <v>117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51</v>
      </c>
      <c r="C9" s="84"/>
      <c r="D9" s="84"/>
      <c r="E9" s="84"/>
      <c r="F9" s="85"/>
      <c r="G9" s="37">
        <v>1040788</v>
      </c>
      <c r="H9" s="16" t="s">
        <v>4</v>
      </c>
      <c r="I9" s="1"/>
    </row>
    <row r="10" spans="1:9" x14ac:dyDescent="0.25">
      <c r="A10" s="1"/>
      <c r="B10" s="75" t="s">
        <v>52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53</v>
      </c>
      <c r="C11" s="80"/>
      <c r="D11" s="81"/>
      <c r="E11" s="36">
        <v>828752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54</v>
      </c>
      <c r="C12" s="80"/>
      <c r="D12" s="81"/>
      <c r="E12" s="36">
        <v>42961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55</v>
      </c>
      <c r="C13" s="80"/>
      <c r="D13" s="81"/>
      <c r="E13" s="40">
        <v>8167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56</v>
      </c>
      <c r="C14" s="80"/>
      <c r="D14" s="81"/>
      <c r="E14" s="41">
        <v>20000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57</v>
      </c>
      <c r="C15" s="84"/>
      <c r="D15" s="85"/>
      <c r="E15" s="33">
        <f>SUM(E11:E14)</f>
        <v>899880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58</v>
      </c>
      <c r="C16" s="80"/>
      <c r="D16" s="81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59</v>
      </c>
      <c r="C17" s="80"/>
      <c r="D17" s="81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60</v>
      </c>
      <c r="C18" s="80"/>
      <c r="D18" s="81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61</v>
      </c>
      <c r="C19" s="84"/>
      <c r="D19" s="85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62</v>
      </c>
      <c r="C20" s="73"/>
      <c r="D20" s="74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63</v>
      </c>
      <c r="C21" s="73"/>
      <c r="D21" s="74"/>
      <c r="E21" s="36">
        <v>-18820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64</v>
      </c>
      <c r="C22" s="80"/>
      <c r="D22" s="81"/>
      <c r="E22" s="36">
        <v>-36351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65</v>
      </c>
      <c r="C23" s="80"/>
      <c r="D23" s="81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66</v>
      </c>
      <c r="C24" s="73"/>
      <c r="D24" s="74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67</v>
      </c>
      <c r="C25" s="73"/>
      <c r="D25" s="74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68</v>
      </c>
      <c r="C26" s="73"/>
      <c r="D26" s="74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69</v>
      </c>
      <c r="C27" s="84"/>
      <c r="D27" s="85"/>
      <c r="E27" s="33">
        <f>SUM(E20:E26)</f>
        <v>-55171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70</v>
      </c>
      <c r="C28" s="84"/>
      <c r="D28" s="85"/>
      <c r="E28" s="33">
        <f>E15+E19+E27</f>
        <v>844709</v>
      </c>
      <c r="F28" s="16" t="s">
        <v>4</v>
      </c>
      <c r="G28" s="31">
        <f>IF(E28&lt;0,0,-E28)</f>
        <v>-844709</v>
      </c>
      <c r="H28" s="16" t="s">
        <v>4</v>
      </c>
      <c r="I28" s="1"/>
    </row>
    <row r="29" spans="1:9" x14ac:dyDescent="0.25">
      <c r="A29" s="1"/>
      <c r="B29" s="75" t="s">
        <v>71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71</v>
      </c>
      <c r="C30" s="84"/>
      <c r="D30" s="85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4" t="s">
        <v>111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112</v>
      </c>
      <c r="C32" s="73"/>
      <c r="D32" s="74"/>
      <c r="E32" s="36">
        <v>875027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72</v>
      </c>
      <c r="C33" s="80"/>
      <c r="D33" s="81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73</v>
      </c>
      <c r="C34" s="73"/>
      <c r="D34" s="74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74</v>
      </c>
      <c r="C35" s="84"/>
      <c r="D35" s="85"/>
      <c r="E35" s="33">
        <f>SUM(E32:E34)</f>
        <v>875027</v>
      </c>
      <c r="F35" s="16" t="s">
        <v>4</v>
      </c>
      <c r="G35" s="33">
        <f>-E35</f>
        <v>-875027</v>
      </c>
      <c r="H35" s="16" t="s">
        <v>4</v>
      </c>
      <c r="I35" s="1"/>
    </row>
    <row r="36" spans="1:9" x14ac:dyDescent="0.25">
      <c r="A36" s="1"/>
      <c r="B36" s="75" t="s">
        <v>50</v>
      </c>
      <c r="C36" s="76"/>
      <c r="D36" s="76"/>
      <c r="E36" s="76"/>
      <c r="F36" s="77"/>
      <c r="G36" s="34">
        <f>$G$9+$G$28+$G$30+$G$35</f>
        <v>-678948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2">
        <f>'Fane 3. Grundlag'!G12</f>
        <v>1781698.4635081713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20">
        <f>'Fane 3. Grundlag'!G11</f>
        <v>32810.6228385676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28</v>
      </c>
      <c r="C11" s="80"/>
      <c r="D11" s="81"/>
      <c r="E11" s="20">
        <f>'Fane 4. Generelt eff.krav'!G11</f>
        <v>29731.093291383258</v>
      </c>
      <c r="F11" s="7" t="s">
        <v>4</v>
      </c>
      <c r="G11" s="14"/>
      <c r="H11" s="15"/>
      <c r="I11" s="1"/>
    </row>
    <row r="12" spans="1:9" x14ac:dyDescent="0.25">
      <c r="A12" s="1"/>
      <c r="B12" s="83" t="s">
        <v>43</v>
      </c>
      <c r="C12" s="84"/>
      <c r="D12" s="85"/>
      <c r="E12" s="33">
        <f>$E$9-$E$11</f>
        <v>1751967.370216788</v>
      </c>
      <c r="F12" s="17" t="s">
        <v>4</v>
      </c>
      <c r="G12" s="33">
        <f>E12</f>
        <v>1751967.370216788</v>
      </c>
      <c r="H12" s="17" t="s">
        <v>4</v>
      </c>
      <c r="I12" s="1"/>
    </row>
    <row r="13" spans="1:9" x14ac:dyDescent="0.25">
      <c r="A13" s="1"/>
      <c r="B13" s="75" t="s">
        <v>32</v>
      </c>
      <c r="C13" s="76"/>
      <c r="D13" s="76"/>
      <c r="E13" s="76"/>
      <c r="F13" s="76"/>
      <c r="G13" s="76"/>
      <c r="H13" s="77"/>
      <c r="I13" s="1"/>
    </row>
    <row r="14" spans="1:9" x14ac:dyDescent="0.25">
      <c r="A14" s="1"/>
      <c r="B14" s="69" t="s">
        <v>106</v>
      </c>
      <c r="C14" s="70"/>
      <c r="D14" s="71"/>
      <c r="E14" s="33">
        <f>'Fane 5. Hist. over el. underdæk'!G13</f>
        <v>-256857.75</v>
      </c>
      <c r="F14" s="17" t="s">
        <v>4</v>
      </c>
      <c r="G14" s="33">
        <f>E14</f>
        <v>-256857.75</v>
      </c>
      <c r="H14" s="17" t="s">
        <v>4</v>
      </c>
      <c r="I14" s="1"/>
    </row>
    <row r="15" spans="1:9" x14ac:dyDescent="0.25">
      <c r="A15" s="1"/>
      <c r="B15" s="75" t="s">
        <v>29</v>
      </c>
      <c r="C15" s="76"/>
      <c r="D15" s="76"/>
      <c r="E15" s="76"/>
      <c r="F15" s="76"/>
      <c r="G15" s="76"/>
      <c r="H15" s="77"/>
      <c r="I15" s="1"/>
    </row>
    <row r="16" spans="1:9" x14ac:dyDescent="0.25">
      <c r="A16" s="1"/>
      <c r="B16" s="72" t="s">
        <v>35</v>
      </c>
      <c r="C16" s="73"/>
      <c r="D16" s="74"/>
      <c r="E16" s="20">
        <f>'Fane 7. Korrektion af PL2015'!G11</f>
        <v>-392</v>
      </c>
      <c r="F16" s="7" t="s">
        <v>4</v>
      </c>
      <c r="G16" s="19"/>
      <c r="H16" s="9"/>
      <c r="I16" s="1"/>
    </row>
    <row r="17" spans="1:9" x14ac:dyDescent="0.25">
      <c r="A17" s="1"/>
      <c r="B17" s="72" t="s">
        <v>36</v>
      </c>
      <c r="C17" s="73"/>
      <c r="D17" s="74"/>
      <c r="E17" s="20">
        <f>'Fane 7. Korrektion af PL2015'!G17</f>
        <v>-7328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2" t="s">
        <v>99</v>
      </c>
      <c r="C18" s="73"/>
      <c r="D18" s="74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2" t="s">
        <v>37</v>
      </c>
      <c r="C19" s="73"/>
      <c r="D19" s="74"/>
      <c r="E19" s="20">
        <f>'Fane 7. Korrektion af PL2015'!G30</f>
        <v>-24236</v>
      </c>
      <c r="F19" s="7" t="s">
        <v>4</v>
      </c>
      <c r="G19" s="14"/>
      <c r="H19" s="15"/>
      <c r="I19" s="1"/>
    </row>
    <row r="20" spans="1:9" x14ac:dyDescent="0.25">
      <c r="A20" s="1"/>
      <c r="B20" s="69" t="s">
        <v>38</v>
      </c>
      <c r="C20" s="70"/>
      <c r="D20" s="71"/>
      <c r="E20" s="33">
        <f>SUM(E16:E19)</f>
        <v>-31956</v>
      </c>
      <c r="F20" s="17" t="s">
        <v>4</v>
      </c>
      <c r="G20" s="33">
        <f>E20</f>
        <v>-31956</v>
      </c>
      <c r="H20" s="17" t="s">
        <v>4</v>
      </c>
      <c r="I20" s="1"/>
    </row>
    <row r="21" spans="1:9" x14ac:dyDescent="0.25">
      <c r="A21" s="1"/>
      <c r="B21" s="75" t="s">
        <v>33</v>
      </c>
      <c r="C21" s="76"/>
      <c r="D21" s="76"/>
      <c r="E21" s="76"/>
      <c r="F21" s="76"/>
      <c r="G21" s="76"/>
      <c r="H21" s="77"/>
      <c r="I21" s="1"/>
    </row>
    <row r="22" spans="1:9" x14ac:dyDescent="0.25">
      <c r="A22" s="1"/>
      <c r="B22" s="69" t="s">
        <v>34</v>
      </c>
      <c r="C22" s="70"/>
      <c r="D22" s="71"/>
      <c r="E22" s="33">
        <f>'Fane 8. Kontrol af PL2015'!G36</f>
        <v>-678948</v>
      </c>
      <c r="F22" s="17" t="s">
        <v>4</v>
      </c>
      <c r="G22" s="33">
        <f>E22</f>
        <v>-678948</v>
      </c>
      <c r="H22" s="17" t="s">
        <v>4</v>
      </c>
      <c r="I22" s="1"/>
    </row>
    <row r="23" spans="1:9" x14ac:dyDescent="0.25">
      <c r="A23" s="1"/>
      <c r="B23" s="75" t="s">
        <v>39</v>
      </c>
      <c r="C23" s="76"/>
      <c r="D23" s="76"/>
      <c r="E23" s="76"/>
      <c r="F23" s="77"/>
      <c r="G23" s="34">
        <f>G12+G14+G20+G22</f>
        <v>784205.62021678803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5">
        <f>'Fane 2.1. Økonomisk ramme 2017'!$E$9-'Fane 2.1. Økonomisk ramme 2017'!$E$11</f>
        <v>1751967.370216788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2.1. Økonomisk ramme 2017'!$E$10</f>
        <v>32810.6228385676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22249.985601753207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29596.830647188704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1744620.5251713526</v>
      </c>
      <c r="F13" s="17" t="s">
        <v>4</v>
      </c>
      <c r="G13" s="33">
        <f>E13</f>
        <v>1744620.5251713526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ht="15" customHeight="1" x14ac:dyDescent="0.25">
      <c r="A15" s="1"/>
      <c r="B15" s="69" t="s">
        <v>106</v>
      </c>
      <c r="C15" s="70"/>
      <c r="D15" s="71"/>
      <c r="E15" s="37">
        <f>IF('Fane 5. Hist. over el. underdæk'!$G$12&gt;1,'Fane 5. Hist. over el. underdæk'!$G$13,0)</f>
        <v>-256857.75</v>
      </c>
      <c r="F15" s="17" t="s">
        <v>4</v>
      </c>
      <c r="G15" s="33">
        <f>E15</f>
        <v>-256857.75</v>
      </c>
      <c r="H15" s="17" t="s">
        <v>4</v>
      </c>
      <c r="I15" s="1"/>
    </row>
    <row r="16" spans="1:9" x14ac:dyDescent="0.25">
      <c r="A16" s="1"/>
      <c r="B16" s="75" t="s">
        <v>42</v>
      </c>
      <c r="C16" s="76"/>
      <c r="D16" s="76"/>
      <c r="E16" s="76"/>
      <c r="F16" s="77"/>
      <c r="G16" s="34">
        <f>G13+G15</f>
        <v>1487762.7751713526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44</v>
      </c>
      <c r="C9" s="73"/>
      <c r="D9" s="74"/>
      <c r="E9" s="35">
        <f>'Fane 2.2. Økonomisk ramme 2018'!$E$9*1.0127-'Fane 2.2. Økonomisk ramme 2018'!$E$12</f>
        <v>1744620.5251713523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2.2. Økonomisk ramme 2018'!$E$10*1.0127</f>
        <v>33227.31774861741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22156.680669676174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29463.174319669062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1737314.0315213595</v>
      </c>
      <c r="F13" s="17" t="s">
        <v>4</v>
      </c>
      <c r="G13" s="33">
        <f>E13</f>
        <v>1737314.0315213595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ht="15" customHeight="1" x14ac:dyDescent="0.25">
      <c r="A15" s="1"/>
      <c r="B15" s="69" t="s">
        <v>106</v>
      </c>
      <c r="C15" s="70"/>
      <c r="D15" s="71"/>
      <c r="E15" s="37">
        <f>IF('Fane 5. Hist. over el. underdæk'!$G$12&gt;2,'Fane 5. Hist. over el. underdæk'!$G$13,0)</f>
        <v>-256857.75</v>
      </c>
      <c r="F15" s="17" t="s">
        <v>4</v>
      </c>
      <c r="G15" s="33">
        <f>E15</f>
        <v>-256857.75</v>
      </c>
      <c r="H15" s="17" t="s">
        <v>4</v>
      </c>
      <c r="I15" s="1"/>
    </row>
    <row r="16" spans="1:9" x14ac:dyDescent="0.25">
      <c r="A16" s="1"/>
      <c r="B16" s="75" t="s">
        <v>45</v>
      </c>
      <c r="C16" s="76"/>
      <c r="D16" s="76"/>
      <c r="E16" s="76"/>
      <c r="F16" s="77"/>
      <c r="G16" s="34">
        <f>G13+G15</f>
        <v>1480456.2815213595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46</v>
      </c>
      <c r="C9" s="73"/>
      <c r="D9" s="74"/>
      <c r="E9" s="35">
        <f>'Fane 2.3. Økonomisk ramme 2019'!$E$9*1.0127-'Fane 2.3. Økonomisk ramme 2019'!$E$12</f>
        <v>1737314.0315213592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2.3. Økonomisk ramme 2019'!$E$10*1.0127</f>
        <v>33649.30468402485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22063.88820032126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29330.121570758867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1730047.7981509217</v>
      </c>
      <c r="F13" s="17" t="s">
        <v>4</v>
      </c>
      <c r="G13" s="33">
        <f>E13</f>
        <v>1730047.7981509217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ht="15" customHeight="1" x14ac:dyDescent="0.25">
      <c r="A15" s="1"/>
      <c r="B15" s="69" t="s">
        <v>106</v>
      </c>
      <c r="C15" s="70"/>
      <c r="D15" s="71"/>
      <c r="E15" s="37">
        <f>IF('Fane 5. Hist. over el. underdæk'!$G$12&gt;3,'Fane 5. Hist. over el. underdæk'!$G$13,0)</f>
        <v>-256857.75</v>
      </c>
      <c r="F15" s="17" t="s">
        <v>4</v>
      </c>
      <c r="G15" s="33">
        <f>E15</f>
        <v>-256857.75</v>
      </c>
      <c r="H15" s="17" t="s">
        <v>4</v>
      </c>
      <c r="I15" s="1"/>
    </row>
    <row r="16" spans="1:9" x14ac:dyDescent="0.25">
      <c r="A16" s="1"/>
      <c r="B16" s="75" t="s">
        <v>47</v>
      </c>
      <c r="C16" s="76"/>
      <c r="D16" s="76"/>
      <c r="E16" s="76"/>
      <c r="F16" s="77"/>
      <c r="G16" s="34">
        <f>G13+G15</f>
        <v>1473190.0481509217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48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100</v>
      </c>
      <c r="C9" s="80"/>
      <c r="D9" s="80"/>
      <c r="E9" s="80"/>
      <c r="F9" s="81"/>
      <c r="G9" s="36">
        <v>790269.37698863156</v>
      </c>
      <c r="H9" s="10" t="s">
        <v>4</v>
      </c>
      <c r="I9" s="1"/>
    </row>
    <row r="10" spans="1:9" x14ac:dyDescent="0.25">
      <c r="A10" s="1"/>
      <c r="B10" s="79" t="s">
        <v>101</v>
      </c>
      <c r="C10" s="80"/>
      <c r="D10" s="80"/>
      <c r="E10" s="80"/>
      <c r="F10" s="81"/>
      <c r="G10" s="36">
        <v>958618.46368097211</v>
      </c>
      <c r="H10" s="10" t="s">
        <v>4</v>
      </c>
      <c r="I10" s="1"/>
    </row>
    <row r="11" spans="1:9" x14ac:dyDescent="0.25">
      <c r="A11" s="1"/>
      <c r="B11" s="79" t="s">
        <v>102</v>
      </c>
      <c r="C11" s="80"/>
      <c r="D11" s="80"/>
      <c r="E11" s="80"/>
      <c r="F11" s="81"/>
      <c r="G11" s="36">
        <v>32810.6228385676</v>
      </c>
      <c r="H11" s="10" t="s">
        <v>4</v>
      </c>
      <c r="I11" s="1"/>
    </row>
    <row r="12" spans="1:9" x14ac:dyDescent="0.25">
      <c r="A12" s="1"/>
      <c r="B12" s="75" t="s">
        <v>48</v>
      </c>
      <c r="C12" s="76"/>
      <c r="D12" s="76"/>
      <c r="E12" s="76"/>
      <c r="F12" s="77"/>
      <c r="G12" s="34">
        <f>SUM(G9:G11)</f>
        <v>1781698.4635081713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108</v>
      </c>
      <c r="C9" s="80"/>
      <c r="D9" s="80"/>
      <c r="E9" s="80"/>
      <c r="F9" s="81"/>
      <c r="G9" s="20">
        <f>'Fane 3. Grundlag'!G12-'Fane 3. Grundlag'!G11</f>
        <v>1748887.8406696036</v>
      </c>
      <c r="H9" s="10" t="s">
        <v>4</v>
      </c>
      <c r="I9" s="1"/>
    </row>
    <row r="10" spans="1:9" x14ac:dyDescent="0.25">
      <c r="A10" s="1"/>
      <c r="B10" s="79" t="s">
        <v>28</v>
      </c>
      <c r="C10" s="80"/>
      <c r="D10" s="80"/>
      <c r="E10" s="80"/>
      <c r="F10" s="81"/>
      <c r="G10" s="44">
        <f>1.7</f>
        <v>1.7</v>
      </c>
      <c r="H10" s="10" t="s">
        <v>75</v>
      </c>
      <c r="I10" s="1"/>
    </row>
    <row r="11" spans="1:9" x14ac:dyDescent="0.25">
      <c r="A11" s="1"/>
      <c r="B11" s="75" t="s">
        <v>28</v>
      </c>
      <c r="C11" s="76"/>
      <c r="D11" s="76"/>
      <c r="E11" s="76"/>
      <c r="F11" s="77"/>
      <c r="G11" s="34">
        <f>$G$9*$G$10/100</f>
        <v>29731.093291383258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114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77</v>
      </c>
      <c r="C9" s="80"/>
      <c r="D9" s="80"/>
      <c r="E9" s="80"/>
      <c r="F9" s="81"/>
      <c r="G9" s="36">
        <v>-2547190</v>
      </c>
      <c r="H9" s="10" t="s">
        <v>4</v>
      </c>
      <c r="I9" s="1"/>
    </row>
    <row r="10" spans="1:9" x14ac:dyDescent="0.25">
      <c r="A10" s="1"/>
      <c r="B10" s="79" t="s">
        <v>78</v>
      </c>
      <c r="C10" s="80"/>
      <c r="D10" s="80"/>
      <c r="E10" s="80"/>
      <c r="F10" s="81"/>
      <c r="G10" s="36">
        <v>-1519759</v>
      </c>
      <c r="H10" s="10" t="s">
        <v>4</v>
      </c>
      <c r="I10" s="1"/>
    </row>
    <row r="11" spans="1:9" x14ac:dyDescent="0.25">
      <c r="A11" s="1"/>
      <c r="B11" s="86" t="s">
        <v>92</v>
      </c>
      <c r="C11" s="87"/>
      <c r="D11" s="87"/>
      <c r="E11" s="87"/>
      <c r="F11" s="88"/>
      <c r="G11" s="38">
        <v>-1027431</v>
      </c>
      <c r="H11" s="23" t="s">
        <v>4</v>
      </c>
      <c r="I11" s="1"/>
    </row>
    <row r="12" spans="1:9" x14ac:dyDescent="0.25">
      <c r="A12" s="1"/>
      <c r="B12" s="79" t="s">
        <v>79</v>
      </c>
      <c r="C12" s="80"/>
      <c r="D12" s="80"/>
      <c r="E12" s="80"/>
      <c r="F12" s="81"/>
      <c r="G12" s="36">
        <v>4</v>
      </c>
      <c r="H12" s="10" t="s">
        <v>4</v>
      </c>
      <c r="I12" s="1"/>
    </row>
    <row r="13" spans="1:9" x14ac:dyDescent="0.25">
      <c r="A13" s="1"/>
      <c r="B13" s="75" t="s">
        <v>76</v>
      </c>
      <c r="C13" s="76"/>
      <c r="D13" s="76"/>
      <c r="E13" s="76"/>
      <c r="F13" s="77"/>
      <c r="G13" s="34">
        <f>G11/G12</f>
        <v>-256857.75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115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6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2" t="s">
        <v>0</v>
      </c>
      <c r="C9" s="17" t="s">
        <v>1</v>
      </c>
      <c r="D9" s="24" t="s">
        <v>2</v>
      </c>
      <c r="E9" s="24" t="s">
        <v>80</v>
      </c>
      <c r="F9" s="89" t="s">
        <v>3</v>
      </c>
      <c r="G9" s="89"/>
      <c r="H9" s="1"/>
    </row>
    <row r="10" spans="1:8" x14ac:dyDescent="0.25">
      <c r="A10" s="1"/>
      <c r="B10" s="43" t="s">
        <v>110</v>
      </c>
      <c r="C10" s="39">
        <v>2015</v>
      </c>
      <c r="D10" s="39">
        <v>10</v>
      </c>
      <c r="E10" s="36">
        <v>18820</v>
      </c>
      <c r="F10" s="20">
        <f>E10/D10</f>
        <v>1882</v>
      </c>
      <c r="G10" s="10" t="s">
        <v>4</v>
      </c>
      <c r="H10" s="1"/>
    </row>
    <row r="11" spans="1:8" x14ac:dyDescent="0.25">
      <c r="A11" s="1"/>
      <c r="B11" s="75" t="s">
        <v>5</v>
      </c>
      <c r="C11" s="76"/>
      <c r="D11" s="76"/>
      <c r="E11" s="77"/>
      <c r="F11" s="34">
        <f>SUM(F10:F10)</f>
        <v>1882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2016-10-17T14:12:24Z</dcterms:modified>
</cp:coreProperties>
</file>