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20" i="11" l="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21" i="11"/>
  <c r="F10" i="1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F22" i="11"/>
  <c r="G29" i="1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<sst xmlns="http://schemas.openxmlformats.org/spreadsheetml/2006/main" count="250" uniqueCount="127">
  <si>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</si>
  <si>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</si>
  <si>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</si>
  <si>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</si>
  <si>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</si>
  <si>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</si>
  <si>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</si>
  <si>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</si>
  <si>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</si>
  <si>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</si>
  <si>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</si>
  <si>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</si>
  <si>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</si>
  <si>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</si>
  <si>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</si>
  <si>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</si>
  <si>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</si>
  <si>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</si>
  <si>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</si>
  <si>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</si>
  <si>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</si>
  <si>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</si>
  <si>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</si>
  <si>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</si>
  <si>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</si>
  <si>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</si>
  <si>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</si>
  <si>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</si>
  <si>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</si>
  <si>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</si>
  <si>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</si>
  <si>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</si>
  <si>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</si>
  <si>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</si>
  <si>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</si>
  <si>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</si>
  <si>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</si>
  <si>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</si>
  <si>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</si>
  <si>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</si>
  <si>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</si>
  <si>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</si>
  <si>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</si>
  <si>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</si>
  <si>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</si>
  <si>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</si>
  <si>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</si>
  <si>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</si>
  <si>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</si>
  <si>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</si>
  <si>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</si>
  <si>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</si>
  <si>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</si>
  <si>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</si>
  <si>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</si>
  <si>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</si>
  <si>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</si>
  <si>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</si>
  <si>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</si>
  <si>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</si>
  <si>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</si>
  <si>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</si>
  <si>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</si>
  <si>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</si>
  <si>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</si>
  <si>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</si>
  <si>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</si>
  <si>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</si>
  <si>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</si>
  <si>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</si>
  <si>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</si>
  <si>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</si>
  <si>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</si>
  <si>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</si>
  <si>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</si>
  <si>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</si>
  <si>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</si>
  <si>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</si>
  <si>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</si>
  <si>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</si>
  <si>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</si>
  <si>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</si>
  <si>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</si>
  <si>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</si>
  <si>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</si>
  <si>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</si>
  <si>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</si>
  <si>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</si>
  <si>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</si>
  <si>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</si>
  <si>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</si>
  <si>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</si>
  <si>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</si>
  <si>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</si>
  <si>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</si>
  <si>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</si>
  <si>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</si>
  <si>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</si>
  <si>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</si>
  <si>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</si>
  <si>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</si>
  <si>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</si>
  <si>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</si>
  <si>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</si>
  <si>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</si>
  <si>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</si>
  <si>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</si>
  <si>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</si>
  <si>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</si>
  <si>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</si>
  <si>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</si>
  <si>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</si>
  <si>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</si>
  <si>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Ø110 mm &lt; Ledningsnet ≤ Ø 250 mm</t>
  </si>
  <si>
    <t>Stik på ledningsnet, Konstruktioner</t>
  </si>
  <si>
    <t>Afregningsmålere, elektroniske ≤ Ø 110mm (Qn 10)</t>
  </si>
  <si>
    <t>Rentvandsbeholder  insitu støbt</t>
  </si>
  <si>
    <t>Solcelleanlæg</t>
  </si>
  <si>
    <t>Pumpestation (inkl. evt. hydrofor)/trykforøger, Konstruktioner</t>
  </si>
  <si>
    <t>Pumpestation (inkl. evt. hydrofor)/trykforøger, Mek./EL</t>
  </si>
  <si>
    <t>Boring (inkl. etablering, forerør, filter og prøvepumpning)</t>
  </si>
  <si>
    <t>Skyllevand-/slamhåndteringsanlæg - lukkede betonbeholdere</t>
  </si>
  <si>
    <t>Filteranlæg, åbne filtre, enkelt filtrering, Mek./EL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</si>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</sst>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topLeftCell="A10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45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29934005</v>
      </c>
      <c r="H9" s="16" t="s">
        <v>4</v>
      </c>
      <c r="I9" s="1"/>
    </row>
    <row r="10" spans="1:9" x14ac:dyDescent="0.25">
      <c r="A10" s="1"/>
      <c r="B10" s="72" t="s">
        <v>48</v>
      </c>
      <c r="C10" s="73"/>
      <c r="D10" s="73"/>
      <c r="E10" s="73"/>
      <c r="F10" s="73"/>
      <c r="G10" s="73"/>
      <c r="H10" s="74"/>
      <c r="I10" s="1"/>
    </row>
    <row r="11" spans="1:9" x14ac:dyDescent="0.25">
      <c r="A11" s="1"/>
      <c r="B11" s="76" t="s">
        <v>49</v>
      </c>
      <c r="C11" s="77"/>
      <c r="D11" s="78"/>
      <c r="E11" s="37">
        <v>8019956</v>
      </c>
      <c r="F11" s="10" t="s">
        <v>4</v>
      </c>
      <c r="G11" s="19"/>
      <c r="H11" s="25"/>
      <c r="I11" s="1"/>
    </row>
    <row r="12" spans="1:9" x14ac:dyDescent="0.25">
      <c r="A12" s="1"/>
      <c r="B12" s="76" t="s">
        <v>50</v>
      </c>
      <c r="C12" s="77"/>
      <c r="D12" s="78"/>
      <c r="E12" s="37">
        <v>1767843</v>
      </c>
      <c r="F12" s="10" t="s">
        <v>4</v>
      </c>
      <c r="G12" s="13"/>
      <c r="H12" s="26"/>
      <c r="I12" s="1"/>
    </row>
    <row r="13" spans="1:9" x14ac:dyDescent="0.25">
      <c r="A13" s="1"/>
      <c r="B13" s="76" t="s">
        <v>51</v>
      </c>
      <c r="C13" s="77"/>
      <c r="D13" s="78"/>
      <c r="E13" s="37">
        <v>326027</v>
      </c>
      <c r="F13" s="10" t="s">
        <v>4</v>
      </c>
      <c r="G13" s="13"/>
      <c r="H13" s="26"/>
      <c r="I13" s="1"/>
    </row>
    <row r="14" spans="1:9" x14ac:dyDescent="0.25">
      <c r="A14" s="1"/>
      <c r="B14" s="76" t="s">
        <v>52</v>
      </c>
      <c r="C14" s="77"/>
      <c r="D14" s="78"/>
      <c r="E14" s="37">
        <v>496347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10610173</v>
      </c>
      <c r="F15" s="16" t="s">
        <v>4</v>
      </c>
      <c r="G15" s="13"/>
      <c r="H15" s="26"/>
      <c r="I15" s="1"/>
    </row>
    <row r="16" spans="1:9" x14ac:dyDescent="0.25">
      <c r="A16" s="1"/>
      <c r="B16" s="76" t="s">
        <v>54</v>
      </c>
      <c r="C16" s="77"/>
      <c r="D16" s="78"/>
      <c r="E16" s="37">
        <v>530000</v>
      </c>
      <c r="F16" s="10" t="s">
        <v>4</v>
      </c>
      <c r="G16" s="13"/>
      <c r="H16" s="26"/>
      <c r="I16" s="1"/>
    </row>
    <row r="17" spans="1:9" x14ac:dyDescent="0.25">
      <c r="A17" s="1"/>
      <c r="B17" s="76" t="s">
        <v>55</v>
      </c>
      <c r="C17" s="77"/>
      <c r="D17" s="78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6" t="s">
        <v>56</v>
      </c>
      <c r="C18" s="77"/>
      <c r="D18" s="78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530000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9" t="s">
        <v>58</v>
      </c>
      <c r="C20" s="70"/>
      <c r="D20" s="71"/>
      <c r="E20" s="37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9" t="s">
        <v>59</v>
      </c>
      <c r="C21" s="70"/>
      <c r="D21" s="71"/>
      <c r="E21" s="37">
        <v>-10415428.199999999</v>
      </c>
      <c r="F21" s="10" t="s">
        <v>4</v>
      </c>
      <c r="G21" s="13"/>
      <c r="H21" s="26"/>
      <c r="I21" s="1"/>
    </row>
    <row r="22" spans="1:9" x14ac:dyDescent="0.25">
      <c r="A22" s="1"/>
      <c r="B22" s="76" t="s">
        <v>60</v>
      </c>
      <c r="C22" s="77"/>
      <c r="D22" s="78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6" t="s">
        <v>61</v>
      </c>
      <c r="C23" s="77"/>
      <c r="D23" s="78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9" t="s">
        <v>62</v>
      </c>
      <c r="C24" s="70"/>
      <c r="D24" s="71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9" t="s">
        <v>63</v>
      </c>
      <c r="C25" s="70"/>
      <c r="D25" s="71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9" t="s">
        <v>64</v>
      </c>
      <c r="C26" s="70"/>
      <c r="D26" s="71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-10415428.199999999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724744.80000000075</v>
      </c>
      <c r="F28" s="16" t="s">
        <v>4</v>
      </c>
      <c r="G28" s="31">
        <f>IF(E28&lt;0,0,-E28)</f>
        <v>-724744.80000000075</v>
      </c>
      <c r="H28" s="16" t="s">
        <v>4</v>
      </c>
      <c r="I28" s="1"/>
    </row>
    <row r="29" spans="1:9" x14ac:dyDescent="0.25">
      <c r="A29" s="1"/>
      <c r="B29" s="72" t="s">
        <v>67</v>
      </c>
      <c r="C29" s="73"/>
      <c r="D29" s="73"/>
      <c r="E29" s="73"/>
      <c r="F29" s="73"/>
      <c r="G29" s="73"/>
      <c r="H29" s="74"/>
      <c r="I29" s="1"/>
    </row>
    <row r="30" spans="1:9" x14ac:dyDescent="0.25">
      <c r="A30" s="1"/>
      <c r="B30" s="83" t="s">
        <v>67</v>
      </c>
      <c r="C30" s="84"/>
      <c r="D30" s="85"/>
      <c r="E30" s="35">
        <v>681615</v>
      </c>
      <c r="F30" s="16" t="s">
        <v>4</v>
      </c>
      <c r="G30" s="32">
        <f>-$E$30</f>
        <v>-681615</v>
      </c>
      <c r="H30" s="16" t="s">
        <v>4</v>
      </c>
      <c r="I30" s="1"/>
    </row>
    <row r="31" spans="1:9" x14ac:dyDescent="0.25">
      <c r="A31" s="1"/>
      <c r="B31" s="99" t="s">
        <v>124</v>
      </c>
      <c r="C31" s="73"/>
      <c r="D31" s="73"/>
      <c r="E31" s="73"/>
      <c r="F31" s="73"/>
      <c r="G31" s="73"/>
      <c r="H31" s="74"/>
      <c r="I31" s="1"/>
    </row>
    <row r="32" spans="1:9" ht="30" customHeight="1" x14ac:dyDescent="0.25">
      <c r="A32" s="1"/>
      <c r="B32" s="69" t="s">
        <v>125</v>
      </c>
      <c r="C32" s="70"/>
      <c r="D32" s="71"/>
      <c r="E32" s="37">
        <v>28527645</v>
      </c>
      <c r="F32" s="10" t="s">
        <v>4</v>
      </c>
      <c r="G32" s="19"/>
      <c r="H32" s="25"/>
      <c r="I32" s="1"/>
    </row>
    <row r="33" spans="1:9" x14ac:dyDescent="0.25">
      <c r="A33" s="1"/>
      <c r="B33" s="76" t="s">
        <v>68</v>
      </c>
      <c r="C33" s="77"/>
      <c r="D33" s="78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9" t="s">
        <v>69</v>
      </c>
      <c r="C34" s="70"/>
      <c r="D34" s="71"/>
      <c r="E34" s="37">
        <v>0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28527645</v>
      </c>
      <c r="F35" s="16" t="s">
        <v>4</v>
      </c>
      <c r="G35" s="32">
        <f>-E35</f>
        <v>-28527645</v>
      </c>
      <c r="H35" s="16" t="s">
        <v>4</v>
      </c>
      <c r="I35" s="1"/>
    </row>
    <row r="36" spans="1:9" x14ac:dyDescent="0.25">
      <c r="A36" s="1"/>
      <c r="B36" s="72" t="s">
        <v>46</v>
      </c>
      <c r="C36" s="73"/>
      <c r="D36" s="73"/>
      <c r="E36" s="73"/>
      <c r="F36" s="74"/>
      <c r="G36" s="33">
        <f>$G$9+$G$28+$G$30+$G$35</f>
        <v>0.19999999925494194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126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109</v>
      </c>
      <c r="C8" s="73"/>
      <c r="D8" s="73"/>
      <c r="E8" s="73"/>
      <c r="F8" s="73"/>
      <c r="G8" s="73"/>
      <c r="H8" s="74"/>
      <c r="I8" s="1"/>
    </row>
    <row r="9" spans="1:9" ht="30" customHeight="1" x14ac:dyDescent="0.25">
      <c r="A9" s="1"/>
      <c r="B9" s="69" t="s">
        <v>31</v>
      </c>
      <c r="C9" s="70"/>
      <c r="D9" s="71"/>
      <c r="E9" s="34">
        <f>'Fane 3. Grundlag'!G12</f>
        <v>29886599.640622117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77"/>
      <c r="D10" s="78"/>
      <c r="E10" s="20">
        <f>'Fane 3. Grundlag'!G11</f>
        <v>9642303.2842497397</v>
      </c>
      <c r="F10" s="7" t="s">
        <v>4</v>
      </c>
      <c r="G10" s="11"/>
      <c r="H10" s="12"/>
      <c r="I10" s="1"/>
    </row>
    <row r="11" spans="1:9" x14ac:dyDescent="0.25">
      <c r="A11" s="1"/>
      <c r="B11" s="76" t="s">
        <v>25</v>
      </c>
      <c r="C11" s="77"/>
      <c r="D11" s="78"/>
      <c r="E11" s="20">
        <f>'Fane 4. Individuelt eff.krav'!G11</f>
        <v>122643.89835656984</v>
      </c>
      <c r="F11" s="7" t="s">
        <v>4</v>
      </c>
      <c r="G11" s="13"/>
      <c r="H11" s="12"/>
      <c r="I11" s="1"/>
    </row>
    <row r="12" spans="1:9" x14ac:dyDescent="0.25">
      <c r="A12" s="1"/>
      <c r="B12" s="76" t="s">
        <v>26</v>
      </c>
      <c r="C12" s="77"/>
      <c r="D12" s="78"/>
      <c r="E12" s="20">
        <f>'Fane 5. Generelt eff.krav'!G15</f>
        <v>276213.44993245974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29487742.292333089</v>
      </c>
      <c r="F13" s="17" t="s">
        <v>4</v>
      </c>
      <c r="G13" s="32">
        <f>E13</f>
        <v>29487742.292333089</v>
      </c>
      <c r="H13" s="17" t="s">
        <v>4</v>
      </c>
      <c r="I13" s="1"/>
    </row>
    <row r="14" spans="1:9" x14ac:dyDescent="0.25">
      <c r="A14" s="1"/>
      <c r="B14" s="72" t="s">
        <v>32</v>
      </c>
      <c r="C14" s="73"/>
      <c r="D14" s="73"/>
      <c r="E14" s="73"/>
      <c r="F14" s="73"/>
      <c r="G14" s="73"/>
      <c r="H14" s="74"/>
      <c r="I14" s="1"/>
    </row>
    <row r="15" spans="1:9" x14ac:dyDescent="0.25">
      <c r="A15" s="1"/>
      <c r="B15" s="79" t="s">
        <v>108</v>
      </c>
      <c r="C15" s="80"/>
      <c r="D15" s="81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72" t="s">
        <v>28</v>
      </c>
      <c r="C16" s="73"/>
      <c r="D16" s="73"/>
      <c r="E16" s="73"/>
      <c r="F16" s="73"/>
      <c r="G16" s="73"/>
      <c r="H16" s="74"/>
      <c r="I16" s="1"/>
    </row>
    <row r="17" spans="1:9" x14ac:dyDescent="0.25">
      <c r="A17" s="1"/>
      <c r="B17" s="69" t="s">
        <v>35</v>
      </c>
      <c r="C17" s="70"/>
      <c r="D17" s="71"/>
      <c r="E17" s="20">
        <f>'Fane 8. Korrektion af PL2015'!G11</f>
        <v>1741225</v>
      </c>
      <c r="F17" s="7" t="s">
        <v>4</v>
      </c>
      <c r="G17" s="19"/>
      <c r="H17" s="9"/>
      <c r="I17" s="1"/>
    </row>
    <row r="18" spans="1:9" x14ac:dyDescent="0.25">
      <c r="A18" s="1"/>
      <c r="B18" s="69" t="s">
        <v>36</v>
      </c>
      <c r="C18" s="70"/>
      <c r="D18" s="71"/>
      <c r="E18" s="20">
        <f>'Fane 8. Korrektion af PL2015'!G17</f>
        <v>-41220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69" t="s">
        <v>98</v>
      </c>
      <c r="C19" s="70"/>
      <c r="D19" s="71"/>
      <c r="E19" s="20">
        <f>'Fane 8. Korrektion af PL2015'!G23</f>
        <v>0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69" t="s">
        <v>37</v>
      </c>
      <c r="C20" s="70"/>
      <c r="D20" s="71"/>
      <c r="E20" s="20">
        <f>'Fane 8. Korrektion af PL2015'!G30</f>
        <v>112423.94759999996</v>
      </c>
      <c r="F20" s="7" t="s">
        <v>4</v>
      </c>
      <c r="G20" s="14"/>
      <c r="H20" s="15"/>
      <c r="I20" s="1"/>
    </row>
    <row r="21" spans="1:9" x14ac:dyDescent="0.25">
      <c r="A21" s="1"/>
      <c r="B21" s="79" t="s">
        <v>38</v>
      </c>
      <c r="C21" s="80"/>
      <c r="D21" s="81"/>
      <c r="E21" s="32">
        <f>SUM(E17:E20)</f>
        <v>1812428.9476000001</v>
      </c>
      <c r="F21" s="17" t="s">
        <v>4</v>
      </c>
      <c r="G21" s="32">
        <f>E21</f>
        <v>1812428.9476000001</v>
      </c>
      <c r="H21" s="17" t="s">
        <v>4</v>
      </c>
      <c r="I21" s="1"/>
    </row>
    <row r="22" spans="1:9" x14ac:dyDescent="0.25">
      <c r="A22" s="1"/>
      <c r="B22" s="72" t="s">
        <v>33</v>
      </c>
      <c r="C22" s="73"/>
      <c r="D22" s="73"/>
      <c r="E22" s="73"/>
      <c r="F22" s="73"/>
      <c r="G22" s="73"/>
      <c r="H22" s="74"/>
      <c r="I22" s="1"/>
    </row>
    <row r="23" spans="1:9" x14ac:dyDescent="0.25">
      <c r="A23" s="1"/>
      <c r="B23" s="79" t="s">
        <v>34</v>
      </c>
      <c r="C23" s="80"/>
      <c r="D23" s="81"/>
      <c r="E23" s="32">
        <f>'Fane 9. Kontrol af PL2015'!G36</f>
        <v>0.19999999925494194</v>
      </c>
      <c r="F23" s="17" t="s">
        <v>4</v>
      </c>
      <c r="G23" s="32">
        <f>E23</f>
        <v>0.19999999925494194</v>
      </c>
      <c r="H23" s="17" t="s">
        <v>4</v>
      </c>
      <c r="I23" s="1"/>
    </row>
    <row r="24" spans="1:9" x14ac:dyDescent="0.25">
      <c r="A24" s="1"/>
      <c r="B24" s="72" t="s">
        <v>39</v>
      </c>
      <c r="C24" s="73"/>
      <c r="D24" s="73"/>
      <c r="E24" s="73"/>
      <c r="F24" s="74"/>
      <c r="G24" s="33">
        <f>G13+G15+G21+G23</f>
        <v>31300171.439933088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10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109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69" t="s">
        <v>40</v>
      </c>
      <c r="C9" s="70"/>
      <c r="D9" s="71"/>
      <c r="E9" s="36">
        <f>'Fane 2.1. Økonomisk ramme 2017'!$E$9-'Fane 2.1. Økonomisk ramme 2017'!$E$11-'Fane 2.1. Økonomisk ramme 2017'!$E$12</f>
        <v>29487742.292333089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8219564.2674434977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11625874.740639849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9642303.2842497397</v>
      </c>
      <c r="F12" s="7" t="s">
        <v>4</v>
      </c>
      <c r="G12" s="11"/>
      <c r="H12" s="12"/>
      <c r="I12" s="1"/>
    </row>
    <row r="13" spans="1:9" x14ac:dyDescent="0.25">
      <c r="A13" s="1"/>
      <c r="B13" s="76" t="s">
        <v>41</v>
      </c>
      <c r="C13" s="77"/>
      <c r="D13" s="78"/>
      <c r="E13" s="37">
        <f>$E$9*0.0127</f>
        <v>374494.32711263018</v>
      </c>
      <c r="F13" s="7" t="s">
        <v>4</v>
      </c>
      <c r="G13" s="13"/>
      <c r="H13" s="12"/>
      <c r="I13" s="1"/>
    </row>
    <row r="14" spans="1:9" x14ac:dyDescent="0.25">
      <c r="A14" s="1"/>
      <c r="B14" s="76" t="s">
        <v>25</v>
      </c>
      <c r="C14" s="77"/>
      <c r="D14" s="78"/>
      <c r="E14" s="37">
        <f>('Fane 2.2. Økonomisk ramme 2018'!$E$9-'Fane 2.2. Økonomisk ramme 2018'!$E$12)*1.0127*'Fane 4. Individuelt eff.krav'!$G$10/100</f>
        <v>121754.43248887167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275312.72375233378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29465169.463204514</v>
      </c>
      <c r="F16" s="17" t="s">
        <v>4</v>
      </c>
      <c r="G16" s="32">
        <f>E16</f>
        <v>29465169.463204514</v>
      </c>
      <c r="H16" s="17" t="s">
        <v>4</v>
      </c>
      <c r="I16" s="1"/>
    </row>
    <row r="17" spans="1:9" x14ac:dyDescent="0.25">
      <c r="A17" s="1"/>
      <c r="B17" s="72" t="s">
        <v>32</v>
      </c>
      <c r="C17" s="73"/>
      <c r="D17" s="73"/>
      <c r="E17" s="73"/>
      <c r="F17" s="73"/>
      <c r="G17" s="73"/>
      <c r="H17" s="74"/>
      <c r="I17" s="1"/>
    </row>
    <row r="18" spans="1:9" ht="15" customHeight="1" x14ac:dyDescent="0.25">
      <c r="A18" s="1"/>
      <c r="B18" s="79" t="s">
        <v>108</v>
      </c>
      <c r="C18" s="80"/>
      <c r="D18" s="81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72" t="s">
        <v>42</v>
      </c>
      <c r="C19" s="73"/>
      <c r="D19" s="73"/>
      <c r="E19" s="73"/>
      <c r="F19" s="74"/>
      <c r="G19" s="33">
        <f>G16+G18</f>
        <v>29465169.463204514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9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44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76" t="s">
        <v>99</v>
      </c>
      <c r="C9" s="77"/>
      <c r="D9" s="77"/>
      <c r="E9" s="77"/>
      <c r="F9" s="78"/>
      <c r="G9" s="37">
        <v>8439481.9348138664</v>
      </c>
      <c r="H9" s="10" t="s">
        <v>4</v>
      </c>
      <c r="I9" s="1"/>
    </row>
    <row r="10" spans="1:9" x14ac:dyDescent="0.25">
      <c r="A10" s="1"/>
      <c r="B10" s="76" t="s">
        <v>100</v>
      </c>
      <c r="C10" s="77"/>
      <c r="D10" s="77"/>
      <c r="E10" s="77"/>
      <c r="F10" s="78"/>
      <c r="G10" s="37">
        <v>11804814.421558509</v>
      </c>
      <c r="H10" s="10" t="s">
        <v>4</v>
      </c>
      <c r="I10" s="1"/>
    </row>
    <row r="11" spans="1:9" x14ac:dyDescent="0.25">
      <c r="A11" s="1"/>
      <c r="B11" s="76" t="s">
        <v>101</v>
      </c>
      <c r="C11" s="77"/>
      <c r="D11" s="77"/>
      <c r="E11" s="77"/>
      <c r="F11" s="78"/>
      <c r="G11" s="37">
        <v>9642303.2842497397</v>
      </c>
      <c r="H11" s="10" t="s">
        <v>4</v>
      </c>
      <c r="I11" s="1"/>
    </row>
    <row r="12" spans="1:9" x14ac:dyDescent="0.25">
      <c r="A12" s="1"/>
      <c r="B12" s="72" t="s">
        <v>44</v>
      </c>
      <c r="C12" s="73"/>
      <c r="D12" s="73"/>
      <c r="E12" s="73"/>
      <c r="F12" s="74"/>
      <c r="G12" s="33">
        <f>SUM(G9:G11)</f>
        <v>29886599.640622117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27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25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76" t="s">
        <v>103</v>
      </c>
      <c r="C9" s="77"/>
      <c r="D9" s="77"/>
      <c r="E9" s="77"/>
      <c r="F9" s="78"/>
      <c r="G9" s="20">
        <f>'Fane 3. Grundlag'!G12-'Fane 3. Grundlag'!G11</f>
        <v>20244296.356372379</v>
      </c>
      <c r="H9" s="10" t="s">
        <v>4</v>
      </c>
      <c r="I9" s="1"/>
    </row>
    <row r="10" spans="1:9" x14ac:dyDescent="0.25">
      <c r="A10" s="1"/>
      <c r="B10" s="76" t="s">
        <v>71</v>
      </c>
      <c r="C10" s="77"/>
      <c r="D10" s="77"/>
      <c r="E10" s="77"/>
      <c r="F10" s="78"/>
      <c r="G10" s="44">
        <v>0.60581951675472645</v>
      </c>
      <c r="H10" s="10" t="s">
        <v>72</v>
      </c>
      <c r="I10" s="1"/>
    </row>
    <row r="11" spans="1:9" x14ac:dyDescent="0.25">
      <c r="A11" s="1"/>
      <c r="B11" s="72" t="s">
        <v>25</v>
      </c>
      <c r="C11" s="73"/>
      <c r="D11" s="73"/>
      <c r="E11" s="73"/>
      <c r="F11" s="74"/>
      <c r="G11" s="33">
        <f>$G$9*$G$10/100</f>
        <v>122643.89835656984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8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105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8439481.9348138664</v>
      </c>
      <c r="H9" s="10" t="s">
        <v>4</v>
      </c>
      <c r="I9" s="1"/>
    </row>
    <row r="10" spans="1:9" x14ac:dyDescent="0.25">
      <c r="A10" s="1"/>
      <c r="B10" s="76" t="s">
        <v>26</v>
      </c>
      <c r="C10" s="77"/>
      <c r="D10" s="77"/>
      <c r="E10" s="77"/>
      <c r="F10" s="78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168789.63869627734</v>
      </c>
      <c r="H11" s="16" t="s">
        <v>4</v>
      </c>
      <c r="I11" s="1"/>
    </row>
    <row r="12" spans="1:9" x14ac:dyDescent="0.25">
      <c r="A12" s="1"/>
      <c r="B12" s="76" t="s">
        <v>100</v>
      </c>
      <c r="C12" s="77"/>
      <c r="D12" s="77"/>
      <c r="E12" s="77"/>
      <c r="F12" s="78"/>
      <c r="G12" s="20">
        <f>'Fane 3. Grundlag'!G10</f>
        <v>11804814.421558509</v>
      </c>
      <c r="H12" s="10" t="s">
        <v>4</v>
      </c>
      <c r="I12" s="1"/>
    </row>
    <row r="13" spans="1:9" x14ac:dyDescent="0.25">
      <c r="A13" s="1"/>
      <c r="B13" s="76" t="s">
        <v>26</v>
      </c>
      <c r="C13" s="77"/>
      <c r="D13" s="77"/>
      <c r="E13" s="77"/>
      <c r="F13" s="78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107423.81123618243</v>
      </c>
      <c r="H14" s="16" t="s">
        <v>4</v>
      </c>
      <c r="I14" s="1"/>
    </row>
    <row r="15" spans="1:9" x14ac:dyDescent="0.25">
      <c r="A15" s="1"/>
      <c r="B15" s="72" t="s">
        <v>104</v>
      </c>
      <c r="C15" s="73"/>
      <c r="D15" s="73"/>
      <c r="E15" s="73"/>
      <c r="F15" s="74"/>
      <c r="G15" s="33">
        <f>G11+G14</f>
        <v>276213.44993245974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106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107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76" t="s">
        <v>76</v>
      </c>
      <c r="C9" s="77"/>
      <c r="D9" s="77"/>
      <c r="E9" s="77"/>
      <c r="F9" s="78"/>
      <c r="G9" s="37">
        <v>1786492</v>
      </c>
      <c r="H9" s="10" t="s">
        <v>4</v>
      </c>
      <c r="I9" s="1"/>
    </row>
    <row r="10" spans="1:9" x14ac:dyDescent="0.25">
      <c r="A10" s="1"/>
      <c r="B10" s="76" t="s">
        <v>77</v>
      </c>
      <c r="C10" s="77"/>
      <c r="D10" s="77"/>
      <c r="E10" s="77"/>
      <c r="F10" s="78"/>
      <c r="G10" s="37">
        <v>1786492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6" t="s">
        <v>78</v>
      </c>
      <c r="C12" s="77"/>
      <c r="D12" s="77"/>
      <c r="E12" s="77"/>
      <c r="F12" s="78"/>
      <c r="G12" s="37">
        <v>0</v>
      </c>
      <c r="H12" s="10" t="s">
        <v>4</v>
      </c>
      <c r="I12" s="1"/>
    </row>
    <row r="13" spans="1:9" x14ac:dyDescent="0.25">
      <c r="A13" s="1"/>
      <c r="B13" s="72" t="s">
        <v>75</v>
      </c>
      <c r="C13" s="73"/>
      <c r="D13" s="73"/>
      <c r="E13" s="73"/>
      <c r="F13" s="74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5" t="s">
        <v>30</v>
      </c>
      <c r="C3" s="75"/>
      <c r="D3" s="75"/>
      <c r="E3" s="75"/>
      <c r="F3" s="75"/>
      <c r="G3" s="75"/>
      <c r="H3" s="1"/>
    </row>
    <row r="4" spans="1:8" ht="15" customHeight="1" x14ac:dyDescent="0.25">
      <c r="A4" s="1"/>
      <c r="B4" s="75"/>
      <c r="C4" s="75"/>
      <c r="D4" s="75"/>
      <c r="E4" s="75"/>
      <c r="F4" s="75"/>
      <c r="G4" s="7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2" t="s">
        <v>5</v>
      </c>
      <c r="C8" s="73"/>
      <c r="D8" s="73"/>
      <c r="E8" s="73"/>
      <c r="F8" s="73"/>
      <c r="G8" s="74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75</v>
      </c>
      <c r="E10" s="37">
        <v>420512.32</v>
      </c>
      <c r="F10" s="20">
        <f>E10/D10</f>
        <v>5606.8309333333336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75</v>
      </c>
      <c r="E11" s="37">
        <v>517894.46</v>
      </c>
      <c r="F11" s="20">
        <f t="shared" ref="F11:F21" si="0">E11/D11</f>
        <v>6905.2594666666673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10</v>
      </c>
      <c r="E12" s="37">
        <v>2236457.8199999998</v>
      </c>
      <c r="F12" s="20">
        <f t="shared" si="0"/>
        <v>223645.78199999998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50</v>
      </c>
      <c r="E13" s="37">
        <v>76070</v>
      </c>
      <c r="F13" s="20">
        <f t="shared" si="0"/>
        <v>1521.4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25</v>
      </c>
      <c r="E14" s="37">
        <v>266958.36</v>
      </c>
      <c r="F14" s="20">
        <f t="shared" si="0"/>
        <v>10678.3344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50</v>
      </c>
      <c r="E15" s="37">
        <v>154833.38</v>
      </c>
      <c r="F15" s="20">
        <f t="shared" si="0"/>
        <v>3096.6676000000002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25</v>
      </c>
      <c r="E16" s="37">
        <v>22800</v>
      </c>
      <c r="F16" s="20">
        <f t="shared" si="0"/>
        <v>912</v>
      </c>
      <c r="G16" s="10" t="s">
        <v>4</v>
      </c>
      <c r="H16" s="1"/>
    </row>
    <row r="17" spans="1:8" x14ac:dyDescent="0.25">
      <c r="A17" s="1"/>
      <c r="B17" s="41" t="s">
        <v>113</v>
      </c>
      <c r="C17" s="39">
        <v>2015</v>
      </c>
      <c r="D17" s="39">
        <v>75</v>
      </c>
      <c r="E17" s="37">
        <v>4862346.28</v>
      </c>
      <c r="F17" s="20">
        <f t="shared" si="0"/>
        <v>64831.283733333337</v>
      </c>
      <c r="G17" s="10" t="s">
        <v>4</v>
      </c>
      <c r="H17" s="1"/>
    </row>
    <row r="18" spans="1:8" x14ac:dyDescent="0.25">
      <c r="A18" s="1"/>
      <c r="B18" s="41" t="s">
        <v>114</v>
      </c>
      <c r="C18" s="39">
        <v>2015</v>
      </c>
      <c r="D18" s="39">
        <v>75</v>
      </c>
      <c r="E18" s="37">
        <v>934580.88</v>
      </c>
      <c r="F18" s="20">
        <f t="shared" si="0"/>
        <v>12461.0784</v>
      </c>
      <c r="G18" s="10" t="s">
        <v>4</v>
      </c>
      <c r="H18" s="1"/>
    </row>
    <row r="19" spans="1:8" x14ac:dyDescent="0.25">
      <c r="A19" s="1"/>
      <c r="B19" s="41" t="s">
        <v>120</v>
      </c>
      <c r="C19" s="39">
        <v>2015</v>
      </c>
      <c r="D19" s="39">
        <v>30</v>
      </c>
      <c r="E19" s="37">
        <v>307628.96000000002</v>
      </c>
      <c r="F19" s="20">
        <f t="shared" si="0"/>
        <v>10254.298666666667</v>
      </c>
      <c r="G19" s="10" t="s">
        <v>4</v>
      </c>
      <c r="H19" s="1"/>
    </row>
    <row r="20" spans="1:8" x14ac:dyDescent="0.25">
      <c r="A20" s="1"/>
      <c r="B20" s="41" t="s">
        <v>121</v>
      </c>
      <c r="C20" s="39">
        <v>2015</v>
      </c>
      <c r="D20" s="39">
        <v>50</v>
      </c>
      <c r="E20" s="37">
        <v>541414.55000000005</v>
      </c>
      <c r="F20" s="20">
        <f t="shared" si="0"/>
        <v>10828.291000000001</v>
      </c>
      <c r="G20" s="10" t="s">
        <v>4</v>
      </c>
      <c r="H20" s="1"/>
    </row>
    <row r="21" spans="1:8" x14ac:dyDescent="0.25">
      <c r="A21" s="1"/>
      <c r="B21" s="41" t="s">
        <v>122</v>
      </c>
      <c r="C21" s="39">
        <v>2015</v>
      </c>
      <c r="D21" s="39">
        <v>25</v>
      </c>
      <c r="E21" s="37">
        <v>73931.19</v>
      </c>
      <c r="F21" s="20">
        <f t="shared" si="0"/>
        <v>2957.2476000000001</v>
      </c>
      <c r="G21" s="10" t="s">
        <v>4</v>
      </c>
      <c r="H21" s="1"/>
    </row>
    <row r="22" spans="1:8" x14ac:dyDescent="0.25">
      <c r="A22" s="1"/>
      <c r="B22" s="72" t="s">
        <v>123</v>
      </c>
      <c r="C22" s="73"/>
      <c r="D22" s="73"/>
      <c r="E22" s="74"/>
      <c r="F22" s="33">
        <f>SUM(F10:F21)</f>
        <v>353698.47379999998</v>
      </c>
      <c r="G22" s="18" t="s">
        <v>4</v>
      </c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</sheetData>
  <sheetProtection password="C6BD" sheet="1" objects="1" scenarios="1"/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topLeftCell="A2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6" t="s">
        <v>80</v>
      </c>
      <c r="C9" s="77"/>
      <c r="D9" s="77"/>
      <c r="E9" s="77"/>
      <c r="F9" s="78"/>
      <c r="G9" s="37">
        <v>9629961</v>
      </c>
      <c r="H9" s="10" t="s">
        <v>4</v>
      </c>
      <c r="I9" s="1"/>
    </row>
    <row r="10" spans="1:9" x14ac:dyDescent="0.25">
      <c r="A10" s="1"/>
      <c r="B10" s="76" t="s">
        <v>81</v>
      </c>
      <c r="C10" s="77"/>
      <c r="D10" s="77"/>
      <c r="E10" s="77"/>
      <c r="F10" s="78"/>
      <c r="G10" s="37">
        <v>7888736</v>
      </c>
      <c r="H10" s="10" t="s">
        <v>4</v>
      </c>
      <c r="I10" s="1"/>
    </row>
    <row r="11" spans="1:9" x14ac:dyDescent="0.25">
      <c r="A11" s="1"/>
      <c r="B11" s="72" t="s">
        <v>82</v>
      </c>
      <c r="C11" s="73"/>
      <c r="D11" s="73"/>
      <c r="E11" s="73"/>
      <c r="F11" s="74"/>
      <c r="G11" s="33">
        <f>G9-G10</f>
        <v>1741225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6" t="s">
        <v>84</v>
      </c>
      <c r="C15" s="77"/>
      <c r="D15" s="77"/>
      <c r="E15" s="77"/>
      <c r="F15" s="78"/>
      <c r="G15" s="37">
        <v>8780</v>
      </c>
      <c r="H15" s="10" t="s">
        <v>4</v>
      </c>
      <c r="I15" s="1"/>
    </row>
    <row r="16" spans="1:9" x14ac:dyDescent="0.25">
      <c r="A16" s="1"/>
      <c r="B16" s="76" t="s">
        <v>85</v>
      </c>
      <c r="C16" s="77"/>
      <c r="D16" s="77"/>
      <c r="E16" s="77"/>
      <c r="F16" s="78"/>
      <c r="G16" s="37">
        <v>50000</v>
      </c>
      <c r="H16" s="10" t="s">
        <v>4</v>
      </c>
      <c r="I16" s="1"/>
    </row>
    <row r="17" spans="1:9" x14ac:dyDescent="0.25">
      <c r="A17" s="1"/>
      <c r="B17" s="72" t="s">
        <v>86</v>
      </c>
      <c r="C17" s="73"/>
      <c r="D17" s="73"/>
      <c r="E17" s="73"/>
      <c r="F17" s="74"/>
      <c r="G17" s="33">
        <f>G15-G16</f>
        <v>-41220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6" t="s">
        <v>94</v>
      </c>
      <c r="C21" s="77"/>
      <c r="D21" s="77"/>
      <c r="E21" s="77"/>
      <c r="F21" s="78"/>
      <c r="G21" s="37">
        <v>0</v>
      </c>
      <c r="H21" s="10" t="s">
        <v>4</v>
      </c>
      <c r="I21" s="1"/>
    </row>
    <row r="22" spans="1:9" x14ac:dyDescent="0.25">
      <c r="A22" s="1"/>
      <c r="B22" s="76" t="s">
        <v>96</v>
      </c>
      <c r="C22" s="77"/>
      <c r="D22" s="77"/>
      <c r="E22" s="77"/>
      <c r="F22" s="78"/>
      <c r="G22" s="37">
        <v>0</v>
      </c>
      <c r="H22" s="10" t="s">
        <v>4</v>
      </c>
      <c r="I22" s="1"/>
    </row>
    <row r="23" spans="1:9" x14ac:dyDescent="0.25">
      <c r="A23" s="1"/>
      <c r="B23" s="72" t="s">
        <v>95</v>
      </c>
      <c r="C23" s="73"/>
      <c r="D23" s="73"/>
      <c r="E23" s="73"/>
      <c r="F23" s="74"/>
      <c r="G23" s="33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6" t="s">
        <v>88</v>
      </c>
      <c r="C27" s="77"/>
      <c r="D27" s="77"/>
      <c r="E27" s="77"/>
      <c r="F27" s="78"/>
      <c r="G27" s="37">
        <v>246973</v>
      </c>
      <c r="H27" s="10" t="s">
        <v>4</v>
      </c>
      <c r="I27" s="1"/>
    </row>
    <row r="28" spans="1:9" x14ac:dyDescent="0.25">
      <c r="A28" s="1"/>
      <c r="B28" s="76" t="s">
        <v>89</v>
      </c>
      <c r="C28" s="77"/>
      <c r="D28" s="77"/>
      <c r="E28" s="77"/>
      <c r="F28" s="78"/>
      <c r="G28" s="37">
        <v>348000</v>
      </c>
      <c r="H28" s="10" t="s">
        <v>4</v>
      </c>
      <c r="I28" s="1"/>
    </row>
    <row r="29" spans="1:9" x14ac:dyDescent="0.25">
      <c r="A29" s="1"/>
      <c r="B29" s="76" t="s">
        <v>90</v>
      </c>
      <c r="C29" s="77"/>
      <c r="D29" s="77"/>
      <c r="E29" s="77"/>
      <c r="F29" s="78"/>
      <c r="G29" s="20">
        <f>'Fane 7. Gen. inv. i 2015'!F22</f>
        <v>353698.47379999998</v>
      </c>
      <c r="H29" s="10" t="s">
        <v>4</v>
      </c>
      <c r="I29" s="1"/>
    </row>
    <row r="30" spans="1:9" x14ac:dyDescent="0.25">
      <c r="A30" s="1"/>
      <c r="B30" s="72" t="s">
        <v>87</v>
      </c>
      <c r="C30" s="73"/>
      <c r="D30" s="73"/>
      <c r="E30" s="73"/>
      <c r="F30" s="74"/>
      <c r="G30" s="33">
        <f>G29-G27+G29-G28</f>
        <v>112423.94759999996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2016-12-13T11:28:23Z</dcterms:modified>
</cp:coreProperties>
</file>